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30" yWindow="4215" windowWidth="10395" windowHeight="5250" tabRatio="721" activeTab="0"/>
  </bookViews>
  <sheets>
    <sheet name="Ships" sheetId="1" r:id="rId1"/>
    <sheet name="Faction" sheetId="2" r:id="rId2"/>
    <sheet name="Strategic" sheetId="3" r:id="rId3"/>
  </sheets>
  <externalReferences>
    <externalReference r:id="rId6"/>
  </externalReferences>
  <definedNames>
    <definedName name="_xlnm._FilterDatabase" localSheetId="1" hidden="1">'Faction'!$A$3:$CF$3</definedName>
    <definedName name="_xlnm._FilterDatabase" localSheetId="2" hidden="1">'Strategic'!$A$3:$CZ$91</definedName>
    <definedName name="BlueprintBaseLine">#REF!</definedName>
  </definedNames>
  <calcPr fullCalcOnLoad="1"/>
</workbook>
</file>

<file path=xl/comments1.xml><?xml version="1.0" encoding="utf-8"?>
<comments xmlns="http://schemas.openxmlformats.org/spreadsheetml/2006/main">
  <authors>
    <author>Ananda</author>
    <author> Ananda</author>
  </authors>
  <commentList>
    <comment ref="CI1" authorId="0">
      <text>
        <r>
          <rPr>
            <sz val="8"/>
            <rFont val="Tahoma"/>
            <family val="2"/>
          </rPr>
          <t xml:space="preserve">5%   : Basic
10% : Standard
15% : Bronze
20% : Silver
25% : Gold
30% : Platinium
</t>
        </r>
      </text>
    </comment>
    <comment ref="U2" authorId="0">
      <text>
        <r>
          <rPr>
            <b/>
            <sz val="8"/>
            <rFont val="Tahoma"/>
            <family val="0"/>
          </rPr>
          <t xml:space="preserve">En </t>
        </r>
        <r>
          <rPr>
            <b/>
            <sz val="8"/>
            <color indexed="44"/>
            <rFont val="Tahoma"/>
            <family val="2"/>
          </rPr>
          <t>bleu</t>
        </r>
        <r>
          <rPr>
            <b/>
            <sz val="8"/>
            <rFont val="Tahoma"/>
            <family val="0"/>
          </rPr>
          <t xml:space="preserve"> =  peut être transporté dans la soute de Manfred.</t>
        </r>
        <r>
          <rPr>
            <sz val="8"/>
            <rFont val="Tahoma"/>
            <family val="0"/>
          </rPr>
          <t xml:space="preserve">
</t>
        </r>
      </text>
    </comment>
    <comment ref="V2" authorId="0">
      <text>
        <r>
          <rPr>
            <b/>
            <sz val="8"/>
            <rFont val="Tahoma"/>
            <family val="0"/>
          </rPr>
          <t xml:space="preserve">En </t>
        </r>
        <r>
          <rPr>
            <b/>
            <sz val="8"/>
            <color indexed="44"/>
            <rFont val="Tahoma"/>
            <family val="2"/>
          </rPr>
          <t>bleu</t>
        </r>
        <r>
          <rPr>
            <b/>
            <sz val="8"/>
            <rFont val="Tahoma"/>
            <family val="0"/>
          </rPr>
          <t xml:space="preserve"> =  peut être transporté dans la soute de Manfred.</t>
        </r>
        <r>
          <rPr>
            <sz val="8"/>
            <rFont val="Tahoma"/>
            <family val="0"/>
          </rPr>
          <t xml:space="preserve">
</t>
        </r>
      </text>
    </comment>
    <comment ref="R4" authorId="0">
      <text>
        <r>
          <rPr>
            <sz val="8"/>
            <rFont val="Tahoma"/>
            <family val="0"/>
          </rPr>
          <t>Corporate Hangar capacity : 100 000m3
Ship maintenance capacity : 5 000 000m3</t>
        </r>
      </text>
    </comment>
    <comment ref="R5" authorId="0">
      <text>
        <r>
          <rPr>
            <sz val="8"/>
            <rFont val="Tahoma"/>
            <family val="0"/>
          </rPr>
          <t>Corporate Hangar capacity : 100 000m3
Ship maintenance capacity : 5 000 000m3</t>
        </r>
      </text>
    </comment>
    <comment ref="R6" authorId="0">
      <text>
        <r>
          <rPr>
            <sz val="8"/>
            <rFont val="Tahoma"/>
            <family val="0"/>
          </rPr>
          <t>Corporate Hangar capacity : 100 000m3
Ship maintenance capacity : 5 000 000m3</t>
        </r>
      </text>
    </comment>
    <comment ref="R7" authorId="0">
      <text>
        <r>
          <rPr>
            <sz val="8"/>
            <rFont val="Tahoma"/>
            <family val="0"/>
          </rPr>
          <t>Corporate Hangar capacity : 100 000m3
Ship maintenance capacity : 5 000 000m3</t>
        </r>
      </text>
    </comment>
    <comment ref="R8" authorId="0">
      <text>
        <r>
          <rPr>
            <sz val="8"/>
            <rFont val="Tahoma"/>
            <family val="0"/>
          </rPr>
          <t>Corporate Hangar capacity : 50 000m3
Ship maintenance capacity : 2 500 000m3</t>
        </r>
      </text>
    </comment>
    <comment ref="R12" authorId="0">
      <text>
        <r>
          <rPr>
            <sz val="8"/>
            <rFont val="Tahoma"/>
            <family val="0"/>
          </rPr>
          <t>Corporate Hangar capacity : 10 000m3
Ship maintenance capacity : 500 000m3</t>
        </r>
      </text>
    </comment>
    <comment ref="R13" authorId="0">
      <text>
        <r>
          <rPr>
            <sz val="8"/>
            <rFont val="Tahoma"/>
            <family val="0"/>
          </rPr>
          <t>Corporate Hangar capacity : 10 000m3
Ship maintenance capacity : 500 000m3</t>
        </r>
      </text>
    </comment>
    <comment ref="R9" authorId="0">
      <text>
        <r>
          <rPr>
            <sz val="8"/>
            <rFont val="Tahoma"/>
            <family val="0"/>
          </rPr>
          <t>Corporate Hangar capacity : 50 000m3
Ship maintenance capacity : 2 500 000m3</t>
        </r>
      </text>
    </comment>
    <comment ref="R10" authorId="0">
      <text>
        <r>
          <rPr>
            <sz val="8"/>
            <rFont val="Tahoma"/>
            <family val="0"/>
          </rPr>
          <t>Corporate Hangar capacity : 50 000m3
Ship maintenance capacity : 2 500 000m3</t>
        </r>
      </text>
    </comment>
    <comment ref="R14" authorId="0">
      <text>
        <r>
          <rPr>
            <sz val="8"/>
            <rFont val="Tahoma"/>
            <family val="0"/>
          </rPr>
          <t>Corporate Hangar capacity : 10 000m3
Ship maintenance capacity : 500 000m3</t>
        </r>
      </text>
    </comment>
    <comment ref="R11" authorId="0">
      <text>
        <r>
          <rPr>
            <sz val="8"/>
            <rFont val="Tahoma"/>
            <family val="0"/>
          </rPr>
          <t>Corporate Hangar capacity : 50 000m3
Ship maintenance capacity : 2 500 000m3</t>
        </r>
      </text>
    </comment>
    <comment ref="R15" authorId="0">
      <text>
        <r>
          <rPr>
            <sz val="8"/>
            <rFont val="Tahoma"/>
            <family val="0"/>
          </rPr>
          <t>Corporate Hangar capacity : 10 000m3
Ship maintenance capacity : 500 000m3</t>
        </r>
      </text>
    </comment>
    <comment ref="BJ32" authorId="0">
      <text>
        <r>
          <rPr>
            <sz val="8"/>
            <rFont val="Tahoma"/>
            <family val="2"/>
          </rPr>
          <t>Pas de T2 existant</t>
        </r>
      </text>
    </comment>
    <comment ref="R177" authorId="0">
      <text>
        <r>
          <rPr>
            <b/>
            <sz val="8"/>
            <rFont val="Tahoma"/>
            <family val="0"/>
          </rPr>
          <t>8200</t>
        </r>
      </text>
    </comment>
    <comment ref="R178" authorId="0">
      <text>
        <r>
          <rPr>
            <b/>
            <sz val="8"/>
            <rFont val="Tahoma"/>
            <family val="0"/>
          </rPr>
          <t>9625</t>
        </r>
      </text>
    </comment>
    <comment ref="R179" authorId="0">
      <text>
        <r>
          <rPr>
            <b/>
            <sz val="8"/>
            <rFont val="Tahoma"/>
            <family val="0"/>
          </rPr>
          <t>9500</t>
        </r>
      </text>
    </comment>
    <comment ref="R180" authorId="0">
      <text>
        <r>
          <rPr>
            <b/>
            <sz val="8"/>
            <rFont val="Tahoma"/>
            <family val="0"/>
          </rPr>
          <t>9187</t>
        </r>
      </text>
    </comment>
    <comment ref="R185" authorId="0">
      <text>
        <r>
          <rPr>
            <b/>
            <sz val="8"/>
            <rFont val="Tahoma"/>
            <family val="0"/>
          </rPr>
          <t>7680</t>
        </r>
      </text>
    </comment>
    <comment ref="R186" authorId="0">
      <text>
        <r>
          <rPr>
            <b/>
            <sz val="8"/>
            <rFont val="Tahoma"/>
            <family val="0"/>
          </rPr>
          <t>5250</t>
        </r>
      </text>
    </comment>
    <comment ref="R193" authorId="0">
      <text>
        <r>
          <rPr>
            <b/>
            <sz val="8"/>
            <rFont val="Tahoma"/>
            <family val="0"/>
          </rPr>
          <t>10500</t>
        </r>
      </text>
    </comment>
    <comment ref="R195" authorId="0">
      <text>
        <r>
          <rPr>
            <b/>
            <sz val="8"/>
            <rFont val="Tahoma"/>
            <family val="0"/>
          </rPr>
          <t>9844</t>
        </r>
        <r>
          <rPr>
            <sz val="8"/>
            <rFont val="Tahoma"/>
            <family val="0"/>
          </rPr>
          <t xml:space="preserve">
</t>
        </r>
      </text>
    </comment>
    <comment ref="R197" authorId="0">
      <text>
        <r>
          <rPr>
            <sz val="8"/>
            <rFont val="Tahoma"/>
            <family val="0"/>
          </rPr>
          <t>Corporate Hangar capacity : 30 000m3
Ship maintenance capacity : 1 000 000m3</t>
        </r>
      </text>
    </comment>
    <comment ref="E207" authorId="0">
      <text>
        <r>
          <rPr>
            <sz val="8"/>
            <rFont val="Tahoma"/>
            <family val="2"/>
          </rPr>
          <t>Remplir ici la valeur des expanders fités pour le calcul du volume max théorique (hors rigs)</t>
        </r>
      </text>
    </comment>
    <comment ref="BC2" authorId="1">
      <text>
        <r>
          <rPr>
            <sz val="9"/>
            <rFont val="Tahoma"/>
            <family val="0"/>
          </rPr>
          <t>Warp Capacitor Need</t>
        </r>
      </text>
    </comment>
    <comment ref="BD2" authorId="1">
      <text>
        <r>
          <rPr>
            <sz val="9"/>
            <rFont val="Tahoma"/>
            <family val="2"/>
          </rPr>
          <t>Distance de Warp. Le 5 figure le niveau dans la skill Warp Drive Operation</t>
        </r>
      </text>
    </comment>
    <comment ref="BU31" authorId="1">
      <text>
        <r>
          <rPr>
            <sz val="9"/>
            <rFont val="Tahoma"/>
            <family val="0"/>
          </rPr>
          <t>+2 tourelles</t>
        </r>
      </text>
    </comment>
    <comment ref="BU36" authorId="1">
      <text>
        <r>
          <rPr>
            <sz val="9"/>
            <rFont val="Tahoma"/>
            <family val="0"/>
          </rPr>
          <t>+1 launcher</t>
        </r>
      </text>
    </comment>
    <comment ref="BU38" authorId="1">
      <text>
        <r>
          <rPr>
            <sz val="9"/>
            <rFont val="Tahoma"/>
            <family val="0"/>
          </rPr>
          <t>+2 launchers</t>
        </r>
      </text>
    </comment>
    <comment ref="BU40" authorId="1">
      <text>
        <r>
          <rPr>
            <sz val="9"/>
            <rFont val="Tahoma"/>
            <family val="0"/>
          </rPr>
          <t>+1 launcher</t>
        </r>
      </text>
    </comment>
    <comment ref="BU41" authorId="1">
      <text>
        <r>
          <rPr>
            <sz val="9"/>
            <rFont val="Tahoma"/>
            <family val="0"/>
          </rPr>
          <t>+2 tourelles</t>
        </r>
      </text>
    </comment>
    <comment ref="BU42" authorId="1">
      <text>
        <r>
          <rPr>
            <sz val="9"/>
            <rFont val="Tahoma"/>
            <family val="0"/>
          </rPr>
          <t>+1 tourelle
25% navigation prediction
25% missile precision</t>
        </r>
      </text>
    </comment>
    <comment ref="BU21" authorId="1">
      <text>
        <r>
          <rPr>
            <sz val="9"/>
            <rFont val="Tahoma"/>
            <family val="0"/>
          </rPr>
          <t>25% explosion velocity
37,5% target painters</t>
        </r>
      </text>
    </comment>
    <comment ref="BU43" authorId="1">
      <text>
        <r>
          <rPr>
            <sz val="9"/>
            <rFont val="Tahoma"/>
            <family val="0"/>
          </rPr>
          <t>+2 launcher</t>
        </r>
      </text>
    </comment>
    <comment ref="BU46" authorId="1">
      <text>
        <r>
          <rPr>
            <sz val="9"/>
            <rFont val="Tahoma"/>
            <family val="0"/>
          </rPr>
          <t>+3 launchers</t>
        </r>
      </text>
    </comment>
    <comment ref="BU47" authorId="1">
      <text>
        <r>
          <rPr>
            <sz val="9"/>
            <rFont val="Tahoma"/>
            <family val="0"/>
          </rPr>
          <t>+1 launcher</t>
        </r>
      </text>
    </comment>
    <comment ref="BU49" authorId="1">
      <text>
        <r>
          <rPr>
            <sz val="9"/>
            <rFont val="Tahoma"/>
            <family val="0"/>
          </rPr>
          <t>+1 launcher</t>
        </r>
      </text>
    </comment>
    <comment ref="BU51" authorId="1">
      <text>
        <r>
          <rPr>
            <sz val="9"/>
            <rFont val="Tahoma"/>
            <family val="0"/>
          </rPr>
          <t>+2 launcher</t>
        </r>
      </text>
    </comment>
    <comment ref="BU54" authorId="1">
      <text>
        <r>
          <rPr>
            <sz val="9"/>
            <rFont val="Tahoma"/>
            <family val="0"/>
          </rPr>
          <t>+3 launchers</t>
        </r>
      </text>
    </comment>
    <comment ref="BU55" authorId="1">
      <text>
        <r>
          <rPr>
            <sz val="9"/>
            <rFont val="Tahoma"/>
            <family val="0"/>
          </rPr>
          <t>+3 launchers</t>
        </r>
      </text>
    </comment>
    <comment ref="BU56" authorId="1">
      <text>
        <r>
          <rPr>
            <sz val="9"/>
            <rFont val="Tahoma"/>
            <family val="0"/>
          </rPr>
          <t>+1 launcher</t>
        </r>
      </text>
    </comment>
    <comment ref="BU59" authorId="1">
      <text>
        <r>
          <rPr>
            <sz val="9"/>
            <rFont val="Tahoma"/>
            <family val="0"/>
          </rPr>
          <t>+1 launcher</t>
        </r>
      </text>
    </comment>
    <comment ref="BU62" authorId="1">
      <text>
        <r>
          <rPr>
            <sz val="9"/>
            <rFont val="Tahoma"/>
            <family val="0"/>
          </rPr>
          <t>+2 launchers</t>
        </r>
      </text>
    </comment>
    <comment ref="BU63" authorId="1">
      <text>
        <r>
          <rPr>
            <sz val="9"/>
            <rFont val="Tahoma"/>
            <family val="0"/>
          </rPr>
          <t>+2 launchers</t>
        </r>
      </text>
    </comment>
    <comment ref="BU67" authorId="1">
      <text>
        <r>
          <rPr>
            <sz val="9"/>
            <rFont val="Tahoma"/>
            <family val="0"/>
          </rPr>
          <t>+1 launcher</t>
        </r>
      </text>
    </comment>
    <comment ref="BU72" authorId="1">
      <text>
        <r>
          <rPr>
            <sz val="9"/>
            <rFont val="Tahoma"/>
            <family val="0"/>
          </rPr>
          <t>+1 launcher</t>
        </r>
      </text>
    </comment>
    <comment ref="BU74" authorId="1">
      <text>
        <r>
          <rPr>
            <sz val="9"/>
            <rFont val="Tahoma"/>
            <family val="0"/>
          </rPr>
          <t>37,5% target painters</t>
        </r>
      </text>
    </comment>
    <comment ref="BU75" authorId="1">
      <text>
        <r>
          <rPr>
            <sz val="9"/>
            <rFont val="Tahoma"/>
            <family val="0"/>
          </rPr>
          <t>+1 launcher
37,5% target painters</t>
        </r>
      </text>
    </comment>
    <comment ref="BU83" authorId="1">
      <text>
        <r>
          <rPr>
            <sz val="9"/>
            <rFont val="Tahoma"/>
            <family val="0"/>
          </rPr>
          <t>+1 launcher</t>
        </r>
      </text>
    </comment>
    <comment ref="BU86" authorId="1">
      <text>
        <r>
          <rPr>
            <sz val="9"/>
            <rFont val="Tahoma"/>
            <family val="0"/>
          </rPr>
          <t>+1 launcher</t>
        </r>
      </text>
    </comment>
    <comment ref="BU88" authorId="1">
      <text>
        <r>
          <rPr>
            <sz val="9"/>
            <rFont val="Tahoma"/>
            <family val="0"/>
          </rPr>
          <t>+1 launcher</t>
        </r>
      </text>
    </comment>
    <comment ref="BU92" authorId="1">
      <text>
        <r>
          <rPr>
            <sz val="9"/>
            <rFont val="Tahoma"/>
            <family val="0"/>
          </rPr>
          <t>+2 launchers
37,5% target painters</t>
        </r>
      </text>
    </comment>
    <comment ref="BU93" authorId="1">
      <text>
        <r>
          <rPr>
            <sz val="9"/>
            <rFont val="Tahoma"/>
            <family val="0"/>
          </rPr>
          <t>+2 launchers</t>
        </r>
      </text>
    </comment>
    <comment ref="BU95" authorId="1">
      <text>
        <r>
          <rPr>
            <sz val="9"/>
            <rFont val="Tahoma"/>
            <family val="0"/>
          </rPr>
          <t>+2 launchers</t>
        </r>
      </text>
    </comment>
    <comment ref="BU96" authorId="1">
      <text>
        <r>
          <rPr>
            <sz val="9"/>
            <rFont val="Tahoma"/>
            <family val="0"/>
          </rPr>
          <t>+2 tourelles
50% explosion velocity</t>
        </r>
      </text>
    </comment>
    <comment ref="BU97" authorId="1">
      <text>
        <r>
          <rPr>
            <sz val="9"/>
            <rFont val="Tahoma"/>
            <family val="0"/>
          </rPr>
          <t>+2 tourelles
25% Missile precision</t>
        </r>
      </text>
    </comment>
    <comment ref="BU99" authorId="1">
      <text>
        <r>
          <rPr>
            <sz val="9"/>
            <rFont val="Tahoma"/>
            <family val="0"/>
          </rPr>
          <t>+1 launcher</t>
        </r>
      </text>
    </comment>
    <comment ref="BU101" authorId="1">
      <text>
        <r>
          <rPr>
            <sz val="9"/>
            <rFont val="Tahoma"/>
            <family val="0"/>
          </rPr>
          <t>+1 launcher</t>
        </r>
      </text>
    </comment>
    <comment ref="BU103" authorId="1">
      <text>
        <r>
          <rPr>
            <sz val="9"/>
            <rFont val="Tahoma"/>
            <family val="0"/>
          </rPr>
          <t>+1 launcher</t>
        </r>
      </text>
    </comment>
    <comment ref="BU106" authorId="1">
      <text>
        <r>
          <rPr>
            <sz val="9"/>
            <rFont val="Tahoma"/>
            <family val="0"/>
          </rPr>
          <t>+1 launcher</t>
        </r>
      </text>
    </comment>
    <comment ref="BU107" authorId="1">
      <text>
        <r>
          <rPr>
            <sz val="9"/>
            <rFont val="Tahoma"/>
            <family val="0"/>
          </rPr>
          <t>+1 tourelle</t>
        </r>
      </text>
    </comment>
    <comment ref="BU108" authorId="1">
      <text>
        <r>
          <rPr>
            <sz val="9"/>
            <rFont val="Tahoma"/>
            <family val="0"/>
          </rPr>
          <t>+1 launcher</t>
        </r>
      </text>
    </comment>
    <comment ref="BU110" authorId="1">
      <text>
        <r>
          <rPr>
            <sz val="9"/>
            <rFont val="Tahoma"/>
            <family val="0"/>
          </rPr>
          <t>+1 launcher</t>
        </r>
      </text>
    </comment>
    <comment ref="BU111" authorId="1">
      <text>
        <r>
          <rPr>
            <sz val="9"/>
            <rFont val="Tahoma"/>
            <family val="0"/>
          </rPr>
          <t>+1 launcher</t>
        </r>
      </text>
    </comment>
    <comment ref="BU112" authorId="1">
      <text>
        <r>
          <rPr>
            <sz val="9"/>
            <rFont val="Tahoma"/>
            <family val="0"/>
          </rPr>
          <t>+2 tourelles</t>
        </r>
      </text>
    </comment>
    <comment ref="BU113" authorId="1">
      <text>
        <r>
          <rPr>
            <sz val="9"/>
            <rFont val="Tahoma"/>
            <family val="0"/>
          </rPr>
          <t>+2 tourelles</t>
        </r>
      </text>
    </comment>
    <comment ref="BU114" authorId="1">
      <text>
        <r>
          <rPr>
            <sz val="9"/>
            <rFont val="Tahoma"/>
            <family val="0"/>
          </rPr>
          <t>+2 tourelles</t>
        </r>
      </text>
    </comment>
    <comment ref="BU115" authorId="1">
      <text>
        <r>
          <rPr>
            <sz val="9"/>
            <rFont val="Tahoma"/>
            <family val="0"/>
          </rPr>
          <t>+2 tourelles</t>
        </r>
      </text>
    </comment>
    <comment ref="BU120" authorId="1">
      <text>
        <r>
          <rPr>
            <sz val="9"/>
            <rFont val="Tahoma"/>
            <family val="0"/>
          </rPr>
          <t>+1 tourelle</t>
        </r>
      </text>
    </comment>
    <comment ref="BU121" authorId="1">
      <text>
        <r>
          <rPr>
            <sz val="9"/>
            <rFont val="Tahoma"/>
            <family val="0"/>
          </rPr>
          <t>+1 tourelle</t>
        </r>
      </text>
    </comment>
    <comment ref="BU123" authorId="1">
      <text>
        <r>
          <rPr>
            <sz val="9"/>
            <rFont val="Tahoma"/>
            <family val="0"/>
          </rPr>
          <t>+1 launcher</t>
        </r>
      </text>
    </comment>
    <comment ref="BU125" authorId="1">
      <text>
        <r>
          <rPr>
            <sz val="9"/>
            <rFont val="Tahoma"/>
            <family val="0"/>
          </rPr>
          <t>+1 tourelle</t>
        </r>
      </text>
    </comment>
    <comment ref="BU126" authorId="1">
      <text>
        <r>
          <rPr>
            <sz val="9"/>
            <rFont val="Tahoma"/>
            <family val="0"/>
          </rPr>
          <t>+1 tourelle</t>
        </r>
      </text>
    </comment>
    <comment ref="BU127" authorId="1">
      <text>
        <r>
          <rPr>
            <sz val="9"/>
            <rFont val="Tahoma"/>
            <family val="0"/>
          </rPr>
          <t>+1 launcher</t>
        </r>
      </text>
    </comment>
    <comment ref="BU128" authorId="1">
      <text>
        <r>
          <rPr>
            <sz val="9"/>
            <rFont val="Tahoma"/>
            <family val="0"/>
          </rPr>
          <t>+1 launcher</t>
        </r>
      </text>
    </comment>
    <comment ref="BU130" authorId="1">
      <text>
        <r>
          <rPr>
            <sz val="9"/>
            <rFont val="Tahoma"/>
            <family val="0"/>
          </rPr>
          <t>+1 launcher</t>
        </r>
      </text>
    </comment>
    <comment ref="BU131" authorId="1">
      <text>
        <r>
          <rPr>
            <sz val="9"/>
            <rFont val="Tahoma"/>
            <family val="0"/>
          </rPr>
          <t>+1 launcher</t>
        </r>
      </text>
    </comment>
    <comment ref="BU134" authorId="1">
      <text>
        <r>
          <rPr>
            <sz val="9"/>
            <rFont val="Tahoma"/>
            <family val="0"/>
          </rPr>
          <t>+1 tourelle</t>
        </r>
      </text>
    </comment>
    <comment ref="BU139" authorId="1">
      <text>
        <r>
          <rPr>
            <sz val="9"/>
            <rFont val="Tahoma"/>
            <family val="0"/>
          </rPr>
          <t>+1 tourelle</t>
        </r>
      </text>
    </comment>
    <comment ref="BU150" authorId="1">
      <text>
        <r>
          <rPr>
            <sz val="9"/>
            <rFont val="Tahoma"/>
            <family val="0"/>
          </rPr>
          <t>+1 tourelle</t>
        </r>
      </text>
    </comment>
    <comment ref="BU154" authorId="1">
      <text>
        <r>
          <rPr>
            <sz val="9"/>
            <rFont val="Tahoma"/>
            <family val="0"/>
          </rPr>
          <t>+1 launcher</t>
        </r>
      </text>
    </comment>
    <comment ref="BU153" authorId="1">
      <text>
        <r>
          <rPr>
            <sz val="9"/>
            <rFont val="Tahoma"/>
            <family val="0"/>
          </rPr>
          <t>+1 launcher</t>
        </r>
      </text>
    </comment>
    <comment ref="R198" authorId="1">
      <text>
        <r>
          <rPr>
            <sz val="9"/>
            <rFont val="Tahoma"/>
            <family val="2"/>
          </rPr>
          <t>Corporate Hangar capacity : 40 000m3
Ship maintenance capacity : 400 000m3</t>
        </r>
      </text>
    </comment>
    <comment ref="BT2" authorId="0">
      <text>
        <r>
          <rPr>
            <sz val="9"/>
            <rFont val="Tahoma"/>
            <family val="0"/>
          </rPr>
          <t>x si les bonus n'imposent aucun armement.</t>
        </r>
      </text>
    </comment>
    <comment ref="BU2" authorId="0">
      <text>
        <r>
          <rPr>
            <sz val="9"/>
            <rFont val="Tahoma"/>
            <family val="0"/>
          </rPr>
          <t>Nombre d'équivalent tourelle (ou launcher en fonction des bonus)</t>
        </r>
      </text>
    </comment>
    <comment ref="BV2" authorId="0">
      <text>
        <r>
          <rPr>
            <sz val="9"/>
            <rFont val="Tahoma"/>
            <family val="0"/>
          </rPr>
          <t>Nombre d'équivalent Heavy Drone.</t>
        </r>
      </text>
    </comment>
    <comment ref="BD180" authorId="0">
      <text>
        <r>
          <rPr>
            <sz val="9"/>
            <rFont val="Tahoma"/>
            <family val="0"/>
          </rPr>
          <t>144,146</t>
        </r>
      </text>
    </comment>
    <comment ref="BJ35" authorId="0">
      <text>
        <r>
          <rPr>
            <sz val="8"/>
            <rFont val="Tahoma"/>
            <family val="2"/>
          </rPr>
          <t>Pas de T2 existant</t>
        </r>
      </text>
    </comment>
    <comment ref="BJ37" authorId="0">
      <text>
        <r>
          <rPr>
            <sz val="8"/>
            <rFont val="Tahoma"/>
            <family val="2"/>
          </rPr>
          <t>Pas de T2 existant</t>
        </r>
      </text>
    </comment>
    <comment ref="BJ55" authorId="0">
      <text>
        <r>
          <rPr>
            <sz val="8"/>
            <rFont val="Tahoma"/>
            <family val="2"/>
          </rPr>
          <t>Pas de T2 existant</t>
        </r>
      </text>
    </comment>
    <comment ref="BJ53" authorId="0">
      <text>
        <r>
          <rPr>
            <sz val="8"/>
            <rFont val="Tahoma"/>
            <family val="2"/>
          </rPr>
          <t>Pas de T2 existant</t>
        </r>
      </text>
    </comment>
    <comment ref="BJ50" authorId="0">
      <text>
        <r>
          <rPr>
            <sz val="8"/>
            <rFont val="Tahoma"/>
            <family val="2"/>
          </rPr>
          <t>Pas de T2 existant</t>
        </r>
      </text>
    </comment>
    <comment ref="BJ48" authorId="0">
      <text>
        <r>
          <rPr>
            <sz val="8"/>
            <rFont val="Tahoma"/>
            <family val="2"/>
          </rPr>
          <t>Pas de T2 existant</t>
        </r>
      </text>
    </comment>
    <comment ref="BJ137" authorId="0">
      <text>
        <r>
          <rPr>
            <sz val="8"/>
            <rFont val="Tahoma"/>
            <family val="2"/>
          </rPr>
          <t>Pas de T2 existant</t>
        </r>
      </text>
    </comment>
    <comment ref="BJ138" authorId="0">
      <text>
        <r>
          <rPr>
            <sz val="8"/>
            <rFont val="Tahoma"/>
            <family val="2"/>
          </rPr>
          <t>Pas de T2 existant</t>
        </r>
      </text>
    </comment>
    <comment ref="BJ148" authorId="0">
      <text>
        <r>
          <rPr>
            <sz val="8"/>
            <rFont val="Tahoma"/>
            <family val="2"/>
          </rPr>
          <t>Pas de T2 existant</t>
        </r>
      </text>
    </comment>
    <comment ref="BJ151" authorId="0">
      <text>
        <r>
          <rPr>
            <sz val="8"/>
            <rFont val="Tahoma"/>
            <family val="2"/>
          </rPr>
          <t>Pas de T2 existant</t>
        </r>
      </text>
    </comment>
    <comment ref="BJ156" authorId="0">
      <text>
        <r>
          <rPr>
            <sz val="8"/>
            <rFont val="Tahoma"/>
            <family val="2"/>
          </rPr>
          <t>Pas de T2 existant</t>
        </r>
      </text>
    </comment>
    <comment ref="BJ157" authorId="0">
      <text>
        <r>
          <rPr>
            <sz val="8"/>
            <rFont val="Tahoma"/>
            <family val="2"/>
          </rPr>
          <t>Pas de T2 existant</t>
        </r>
      </text>
    </comment>
    <comment ref="BJ158" authorId="0">
      <text>
        <r>
          <rPr>
            <sz val="8"/>
            <rFont val="Tahoma"/>
            <family val="2"/>
          </rPr>
          <t>Pas de T2 existant</t>
        </r>
      </text>
    </comment>
    <comment ref="BJ159" authorId="0">
      <text>
        <r>
          <rPr>
            <sz val="8"/>
            <rFont val="Tahoma"/>
            <family val="2"/>
          </rPr>
          <t>Pas de T2 existant</t>
        </r>
      </text>
    </comment>
    <comment ref="BJ160" authorId="0">
      <text>
        <r>
          <rPr>
            <sz val="8"/>
            <rFont val="Tahoma"/>
            <family val="2"/>
          </rPr>
          <t>Pas de T2 existant</t>
        </r>
      </text>
    </comment>
    <comment ref="BJ161" authorId="0">
      <text>
        <r>
          <rPr>
            <sz val="8"/>
            <rFont val="Tahoma"/>
            <family val="2"/>
          </rPr>
          <t>Pas de T2 existant</t>
        </r>
      </text>
    </comment>
    <comment ref="BJ162" authorId="0">
      <text>
        <r>
          <rPr>
            <sz val="8"/>
            <rFont val="Tahoma"/>
            <family val="2"/>
          </rPr>
          <t>Pas de T2 existant</t>
        </r>
      </text>
    </comment>
    <comment ref="BJ163" authorId="0">
      <text>
        <r>
          <rPr>
            <sz val="8"/>
            <rFont val="Tahoma"/>
            <family val="2"/>
          </rPr>
          <t>Pas de T2 existant</t>
        </r>
      </text>
    </comment>
    <comment ref="BJ164" authorId="0">
      <text>
        <r>
          <rPr>
            <sz val="8"/>
            <rFont val="Tahoma"/>
            <family val="2"/>
          </rPr>
          <t>Pas de T2 existant</t>
        </r>
      </text>
    </comment>
    <comment ref="BJ165" authorId="0">
      <text>
        <r>
          <rPr>
            <sz val="8"/>
            <rFont val="Tahoma"/>
            <family val="2"/>
          </rPr>
          <t>Pas de T2 existant</t>
        </r>
      </text>
    </comment>
    <comment ref="BJ166" authorId="0">
      <text>
        <r>
          <rPr>
            <sz val="8"/>
            <rFont val="Tahoma"/>
            <family val="2"/>
          </rPr>
          <t>Pas de T2 existant</t>
        </r>
      </text>
    </comment>
    <comment ref="BJ167" authorId="0">
      <text>
        <r>
          <rPr>
            <sz val="8"/>
            <rFont val="Tahoma"/>
            <family val="2"/>
          </rPr>
          <t>Pas de T2 existant</t>
        </r>
      </text>
    </comment>
    <comment ref="BJ189" authorId="0">
      <text>
        <r>
          <rPr>
            <sz val="8"/>
            <rFont val="Tahoma"/>
            <family val="2"/>
          </rPr>
          <t>Pas de T2 existant</t>
        </r>
      </text>
    </comment>
    <comment ref="BJ190" authorId="0">
      <text>
        <r>
          <rPr>
            <sz val="8"/>
            <rFont val="Tahoma"/>
            <family val="2"/>
          </rPr>
          <t>Pas de T2 existant</t>
        </r>
      </text>
    </comment>
    <comment ref="BJ193" authorId="0">
      <text>
        <r>
          <rPr>
            <sz val="8"/>
            <rFont val="Tahoma"/>
            <family val="2"/>
          </rPr>
          <t>Pas de T2 existant</t>
        </r>
      </text>
    </comment>
    <comment ref="BJ194" authorId="0">
      <text>
        <r>
          <rPr>
            <sz val="8"/>
            <rFont val="Tahoma"/>
            <family val="2"/>
          </rPr>
          <t>Pas de T2 existant</t>
        </r>
      </text>
    </comment>
    <comment ref="BJ4" authorId="0">
      <text>
        <r>
          <rPr>
            <sz val="8"/>
            <rFont val="Tahoma"/>
            <family val="2"/>
          </rPr>
          <t>Pas de T2 existant</t>
        </r>
      </text>
    </comment>
    <comment ref="BJ5" authorId="0">
      <text>
        <r>
          <rPr>
            <sz val="8"/>
            <rFont val="Tahoma"/>
            <family val="2"/>
          </rPr>
          <t>Pas de T2 existant</t>
        </r>
      </text>
    </comment>
    <comment ref="BJ6" authorId="0">
      <text>
        <r>
          <rPr>
            <sz val="8"/>
            <rFont val="Tahoma"/>
            <family val="2"/>
          </rPr>
          <t>Pas de T2 existant</t>
        </r>
      </text>
    </comment>
    <comment ref="BJ7" authorId="0">
      <text>
        <r>
          <rPr>
            <sz val="8"/>
            <rFont val="Tahoma"/>
            <family val="2"/>
          </rPr>
          <t>Pas de T2 existant</t>
        </r>
      </text>
    </comment>
    <comment ref="BJ8" authorId="0">
      <text>
        <r>
          <rPr>
            <sz val="8"/>
            <rFont val="Tahoma"/>
            <family val="2"/>
          </rPr>
          <t>Pas de T2 existant</t>
        </r>
      </text>
    </comment>
    <comment ref="BJ9" authorId="0">
      <text>
        <r>
          <rPr>
            <sz val="8"/>
            <rFont val="Tahoma"/>
            <family val="2"/>
          </rPr>
          <t>Pas de T2 existant</t>
        </r>
      </text>
    </comment>
    <comment ref="BJ10" authorId="0">
      <text>
        <r>
          <rPr>
            <sz val="8"/>
            <rFont val="Tahoma"/>
            <family val="2"/>
          </rPr>
          <t>Pas de T2 existant</t>
        </r>
      </text>
    </comment>
    <comment ref="BJ11" authorId="0">
      <text>
        <r>
          <rPr>
            <sz val="8"/>
            <rFont val="Tahoma"/>
            <family val="2"/>
          </rPr>
          <t>Pas de T2 existant</t>
        </r>
      </text>
    </comment>
    <comment ref="BJ12" authorId="0">
      <text>
        <r>
          <rPr>
            <sz val="8"/>
            <rFont val="Tahoma"/>
            <family val="2"/>
          </rPr>
          <t>Pas de T2 existant</t>
        </r>
      </text>
    </comment>
    <comment ref="BJ13" authorId="0">
      <text>
        <r>
          <rPr>
            <sz val="8"/>
            <rFont val="Tahoma"/>
            <family val="2"/>
          </rPr>
          <t>Pas de T2 existant</t>
        </r>
      </text>
    </comment>
    <comment ref="BJ14" authorId="0">
      <text>
        <r>
          <rPr>
            <sz val="8"/>
            <rFont val="Tahoma"/>
            <family val="2"/>
          </rPr>
          <t>Pas de T2 existant</t>
        </r>
      </text>
    </comment>
    <comment ref="BJ15" authorId="0">
      <text>
        <r>
          <rPr>
            <sz val="8"/>
            <rFont val="Tahoma"/>
            <family val="2"/>
          </rPr>
          <t>Pas de T2 existant</t>
        </r>
      </text>
    </comment>
    <comment ref="BJ16" authorId="0">
      <text>
        <r>
          <rPr>
            <sz val="8"/>
            <rFont val="Tahoma"/>
            <family val="2"/>
          </rPr>
          <t>Pas de T2 existant</t>
        </r>
      </text>
    </comment>
    <comment ref="BJ17" authorId="0">
      <text>
        <r>
          <rPr>
            <sz val="8"/>
            <rFont val="Tahoma"/>
            <family val="2"/>
          </rPr>
          <t>Pas de T2 existant</t>
        </r>
      </text>
    </comment>
    <comment ref="BJ18" authorId="0">
      <text>
        <r>
          <rPr>
            <sz val="8"/>
            <rFont val="Tahoma"/>
            <family val="2"/>
          </rPr>
          <t>Pas de T2 existant</t>
        </r>
      </text>
    </comment>
    <comment ref="BJ19" authorId="0">
      <text>
        <r>
          <rPr>
            <sz val="8"/>
            <rFont val="Tahoma"/>
            <family val="2"/>
          </rPr>
          <t>Pas de T2 existant</t>
        </r>
      </text>
    </comment>
    <comment ref="BJ28" authorId="0">
      <text>
        <r>
          <rPr>
            <sz val="8"/>
            <rFont val="Tahoma"/>
            <family val="2"/>
          </rPr>
          <t>Pas de T2 existant</t>
        </r>
      </text>
    </comment>
    <comment ref="BJ168" authorId="0">
      <text>
        <r>
          <rPr>
            <sz val="8"/>
            <rFont val="Tahoma"/>
            <family val="2"/>
          </rPr>
          <t>Pas de T2 existant</t>
        </r>
      </text>
    </comment>
    <comment ref="BU70" authorId="1">
      <text>
        <r>
          <rPr>
            <sz val="9"/>
            <rFont val="Tahoma"/>
            <family val="0"/>
          </rPr>
          <t>+1 tourelle</t>
        </r>
      </text>
    </comment>
  </commentList>
</comments>
</file>

<file path=xl/comments2.xml><?xml version="1.0" encoding="utf-8"?>
<comments xmlns="http://schemas.openxmlformats.org/spreadsheetml/2006/main">
  <authors>
    <author>Ananda</author>
    <author> Ananda</author>
  </authors>
  <commentList>
    <comment ref="Q2" authorId="0">
      <text>
        <r>
          <rPr>
            <sz val="8"/>
            <rFont val="Tahoma"/>
            <family val="2"/>
          </rPr>
          <t>Structure</t>
        </r>
      </text>
    </comment>
    <comment ref="X2" authorId="0">
      <text>
        <r>
          <rPr>
            <sz val="8"/>
            <rFont val="Tahoma"/>
            <family val="2"/>
          </rPr>
          <t>Armor</t>
        </r>
      </text>
    </comment>
    <comment ref="AC2" authorId="0">
      <text>
        <r>
          <rPr>
            <sz val="8"/>
            <rFont val="Tahoma"/>
            <family val="2"/>
          </rPr>
          <t>Shield</t>
        </r>
      </text>
    </comment>
    <comment ref="CC7" authorId="1">
      <text>
        <r>
          <rPr>
            <sz val="9"/>
            <rFont val="Tahoma"/>
            <family val="0"/>
          </rPr>
          <t>+2 launchers</t>
        </r>
      </text>
    </comment>
    <comment ref="CC10" authorId="1">
      <text>
        <r>
          <rPr>
            <sz val="9"/>
            <rFont val="Tahoma"/>
            <family val="0"/>
          </rPr>
          <t>+1 tourelle</t>
        </r>
      </text>
    </comment>
    <comment ref="CC12" authorId="1">
      <text>
        <r>
          <rPr>
            <sz val="9"/>
            <rFont val="Tahoma"/>
            <family val="0"/>
          </rPr>
          <t>+1 launcher</t>
        </r>
      </text>
    </comment>
    <comment ref="CC13" authorId="1">
      <text>
        <r>
          <rPr>
            <sz val="9"/>
            <rFont val="Tahoma"/>
            <family val="0"/>
          </rPr>
          <t>+2 tourelles</t>
        </r>
      </text>
    </comment>
    <comment ref="CC15" authorId="1">
      <text>
        <r>
          <rPr>
            <sz val="9"/>
            <rFont val="Tahoma"/>
            <family val="0"/>
          </rPr>
          <t>+2 launchers</t>
        </r>
      </text>
    </comment>
    <comment ref="CC17" authorId="1">
      <text>
        <r>
          <rPr>
            <sz val="9"/>
            <rFont val="Tahoma"/>
            <family val="0"/>
          </rPr>
          <t>+1 launcher</t>
        </r>
      </text>
    </comment>
    <comment ref="CC20" authorId="1">
      <text>
        <r>
          <rPr>
            <sz val="9"/>
            <rFont val="Tahoma"/>
            <family val="0"/>
          </rPr>
          <t>+2 launchers</t>
        </r>
      </text>
    </comment>
    <comment ref="CC21" authorId="1">
      <text>
        <r>
          <rPr>
            <sz val="9"/>
            <rFont val="Tahoma"/>
            <family val="0"/>
          </rPr>
          <t>+1 launcher</t>
        </r>
      </text>
    </comment>
    <comment ref="CC2" authorId="0">
      <text>
        <r>
          <rPr>
            <sz val="9"/>
            <rFont val="Tahoma"/>
            <family val="0"/>
          </rPr>
          <t>Nombre d'équivalent tourelle (ou launcher en fonction des bonus)</t>
        </r>
      </text>
    </comment>
    <comment ref="CD2" authorId="0">
      <text>
        <r>
          <rPr>
            <sz val="9"/>
            <rFont val="Tahoma"/>
            <family val="0"/>
          </rPr>
          <t>Nombre d'équivalent Heavy Drone.</t>
        </r>
      </text>
    </comment>
    <comment ref="CB2" authorId="0">
      <text>
        <r>
          <rPr>
            <sz val="9"/>
            <rFont val="Tahoma"/>
            <family val="0"/>
          </rPr>
          <t>x si les bonus n'imposent aucun armement.</t>
        </r>
      </text>
    </comment>
    <comment ref="BZ2" authorId="0">
      <text>
        <r>
          <rPr>
            <sz val="9"/>
            <rFont val="Tahoma"/>
            <family val="0"/>
          </rPr>
          <t>Type d'armement favorisé par les bonus.</t>
        </r>
      </text>
    </comment>
  </commentList>
</comments>
</file>

<file path=xl/comments3.xml><?xml version="1.0" encoding="utf-8"?>
<comments xmlns="http://schemas.openxmlformats.org/spreadsheetml/2006/main">
  <authors>
    <author>Ananda</author>
  </authors>
  <commentList>
    <comment ref="U2" authorId="0">
      <text>
        <r>
          <rPr>
            <b/>
            <sz val="8"/>
            <rFont val="Tahoma"/>
            <family val="0"/>
          </rPr>
          <t xml:space="preserve">En </t>
        </r>
        <r>
          <rPr>
            <b/>
            <sz val="8"/>
            <color indexed="44"/>
            <rFont val="Tahoma"/>
            <family val="2"/>
          </rPr>
          <t>bleu</t>
        </r>
        <r>
          <rPr>
            <b/>
            <sz val="8"/>
            <rFont val="Tahoma"/>
            <family val="0"/>
          </rPr>
          <t xml:space="preserve"> =  peut être transporté dans la soute de Manfred.</t>
        </r>
        <r>
          <rPr>
            <sz val="8"/>
            <rFont val="Tahoma"/>
            <family val="0"/>
          </rPr>
          <t xml:space="preserve">
</t>
        </r>
      </text>
    </comment>
    <comment ref="V2" authorId="0">
      <text>
        <r>
          <rPr>
            <b/>
            <sz val="8"/>
            <rFont val="Tahoma"/>
            <family val="0"/>
          </rPr>
          <t xml:space="preserve">En </t>
        </r>
        <r>
          <rPr>
            <b/>
            <sz val="8"/>
            <color indexed="44"/>
            <rFont val="Tahoma"/>
            <family val="2"/>
          </rPr>
          <t>bleu</t>
        </r>
        <r>
          <rPr>
            <b/>
            <sz val="8"/>
            <rFont val="Tahoma"/>
            <family val="0"/>
          </rPr>
          <t xml:space="preserve"> =  peut être transporté dans la soute de Manfred.</t>
        </r>
        <r>
          <rPr>
            <sz val="8"/>
            <rFont val="Tahoma"/>
            <family val="0"/>
          </rPr>
          <t xml:space="preserve">
</t>
        </r>
      </text>
    </comment>
    <comment ref="E94" authorId="0">
      <text>
        <r>
          <rPr>
            <sz val="8"/>
            <rFont val="Tahoma"/>
            <family val="2"/>
          </rPr>
          <t>Remplir ici la valeur des expanders fités pour le calcul du volume max théorique (hors rigs)</t>
        </r>
      </text>
    </comment>
    <comment ref="CB2" authorId="0">
      <text>
        <r>
          <rPr>
            <sz val="9"/>
            <rFont val="Tahoma"/>
            <family val="0"/>
          </rPr>
          <t>x si les bonus n'imposent aucun armement.</t>
        </r>
      </text>
    </comment>
    <comment ref="CC2" authorId="0">
      <text>
        <r>
          <rPr>
            <sz val="9"/>
            <rFont val="Tahoma"/>
            <family val="0"/>
          </rPr>
          <t>Nombre d'équivalent tourelle (ou launcher en fonction des bonus)</t>
        </r>
      </text>
    </comment>
    <comment ref="CD2" authorId="0">
      <text>
        <r>
          <rPr>
            <sz val="9"/>
            <rFont val="Tahoma"/>
            <family val="0"/>
          </rPr>
          <t>Nombre d'équivalent Heavy Drone.</t>
        </r>
      </text>
    </comment>
  </commentList>
</comments>
</file>

<file path=xl/sharedStrings.xml><?xml version="1.0" encoding="utf-8"?>
<sst xmlns="http://schemas.openxmlformats.org/spreadsheetml/2006/main" count="4897" uniqueCount="1817">
  <si>
    <t>Mining Barge Skill Bonus: Able to equip Strip Miner and Ice Harvester turrets. 15% better yield for Strip Miners. 37.5% bonus to all shield resistances. Exhumers Skill Bonus: 60% bonus to Mercoxit Mining Crystal yield multiplier and 20% reduced chance of gas cloud forming per level. Role Bonus: Able to equip Strip Miner and Ice Harvester turrets. +2 warp strength.</t>
  </si>
  <si>
    <t>Nemesis (grec : déesse de la vengeance)</t>
  </si>
  <si>
    <t>107</t>
  </si>
  <si>
    <t>Special Ability: 50% reduction in Medium Energy Turret capacitor use. Amarr Cruiser Skill Bonus: 10% bonus to Energy Vampire and Energy Neutralizer drain amount per level. Minmatar Cruiser Skill Bonus: 10% bonus to Stasis Webifier activation range per level.</t>
  </si>
  <si>
    <t>J drive</t>
  </si>
  <si>
    <t>Capital Industrial Ships skill bonuses : -5% reduction in fuel consumption for industrial cores per level, 5% bonus to bonus to effectiveness of mining foreman gang links per level when in deployed mode, 50% bonus to the range of Capital Shield Transporters per level. 20% bonus to drone damage and hitpoints per level. Role Bonuses : 900% bonus to the range of survey scanners. 200% bonus to the range of cargo scanners. 99% reduction in CPU need for Gang Link modules. 99% reduction in CPU need for Clone Vat Bay. 99% reduction in CPU need for Industrial Reconfiguration modules</t>
  </si>
  <si>
    <t>In terms of Caldari design philosophy, the Phoenix is a chip off the old block. With a heavily tweaked missile interface, targeting arrays of surpassing quality and the most advanced shield systems to be found anywhere, it is considered the strongest long-range installation attacker out there. While its shield boosting actuators allow the Phoenix, when properly equipped, to withstand tremendous punishment over a short duration, its defenses are not likely to hold up against sustained attack over longer periods. With a strong supplementary force, however, few things in existence rival this vessel's pure annihilative force.</t>
  </si>
  <si>
    <t>Phénix</t>
  </si>
  <si>
    <t>018</t>
  </si>
  <si>
    <t>Moros</t>
  </si>
  <si>
    <t>The Navy Issue Raven represents the best the Caldari have to offer on the battlefield: an all-out assault vessel with tremendous electronic warfare capabilities. Commissioned by Caldari Navy Special Operations Command a decade ago in response to a spate of coordinated Gurista attacks which threatened to decimate the populations of several planets in the Obe system, this hefty warship has since proven its worth many times over.</t>
  </si>
  <si>
    <t>Special Ability: 5% bonus to Missile Launcher Rate Of Fire and 10% bonus to Missile Velocity per level of skill.</t>
  </si>
  <si>
    <t>Raven</t>
  </si>
  <si>
    <t>13 km</t>
  </si>
  <si>
    <t>18 km</t>
  </si>
  <si>
    <t>15 km</t>
  </si>
  <si>
    <t>17 km</t>
  </si>
  <si>
    <t>Special Ability: 15% bonus to ECM Target Jammer strength and 20% bonus to ECM Target Jammer optimal and fallof range per level.</t>
  </si>
  <si>
    <t>Caldari Battleship Skill Bonus: 25% bonus to cruise and siege missile launcher rate of fire and 50% bonus to cruise missile and torpedo velocity. Black Ops Skill Bonus: 30% bonus to ECM target jammer strength and multiplies the cloaked velocity by 125% per level. Note: can fit covert cynosural field generators and covert jump portal generators. No targeting delay after decloaking</t>
  </si>
  <si>
    <t>Caldari Cruiser Skill Bonus : 25% bonus to medium hybrid damage and 50% bonus to ECM Target Jammer capacitor use per level. Recon Ships Skill bonus : 30% bonus to ECM Target Jammer strength and -96% to -100% reduction in Cloaking Device CPU use per level. Role Bonus : 80% reduction in liquid ozone consumption for cynosural field generation and 50% reduction in cynosural field duration. Note : can fit covert cynosural field generators?</t>
  </si>
  <si>
    <t>Caldari Cruiser Skill Bonus : 25% bonus to Heavy and Heavy Assault Missile Launcher rate of fire and 50% bonus to ECM Target Jammer capacitor use. Recon Ships Skill Bonus : 30% Bonus to ECM Target Jammer strength and 10% Bonus to Heavy &amp; Heavy Missile velocity per level.</t>
  </si>
  <si>
    <t>Amarr Frigate Skill Bonus : 50% bonus to torpedo explosion velocity and flight time and 100% bonus to torpedo velocity. Covert Ops Skill Bonus : 5% bonus to bomb EM damage and 15% bonus to Torpedo EM damage per level. Role Bonus : -99.65% reduction in Siege Missile Launcher powergrid needs. and -100% targeting delay after decloaking. Note : can fit covert cynosural field generators, covert ops cloaks and bomb launchers.</t>
  </si>
  <si>
    <t>Caldari Frigate Skill Bonus : 50% bonus to torpedo explosion velocity and flight time and 100% bonus to torpedo velocity. Covert Ops Skill Bonus : 5% bonus to bomb Kinetic damage and 15% bonus to Torpedo Kinetic damage per level. Role Bonus : -99.65% reduction in Siege Missile Launcher powergrid needs. and -100% targeting delay after decloaking. Note : can fit covert cynosural field generators, covert ops cloaks and bomb launchers.</t>
  </si>
  <si>
    <t>Gallente Frigate Skill Bonus : 50% bonus to torpedo explosion velocity and flight time and 100% bonus to torpedo velocity. Covert Ops Skill Bonus : 5% bonus to bomb Thermal damage and 15% bonus to Torpedo Thermal damage per level. Role Bonus : -99.65% reduction in Siege Missile Launcher powergrid needs. and -100% targeting delay after decloaking. Note : can fit covert cynosural field generators, covert ops cloaks and bomb launchers.</t>
  </si>
  <si>
    <t>Minmatar Frigate Skill Bonus : 50% bonus to torpedo explosion velocity and flight time and 100% bonus to torpedo velocity. Covert Ops Skill Bonus : 5% bonus to bomb Explosion damage and 15% bonus to Torpedo Explosion damage per level. Role Bonus : -99.65% reduction in Siege Missile Launcher powergrid needs. and -100% targeting delay after decloaking. Note : can fit covert cynosural field generators, covert ops cloaks and bomb launchers.</t>
  </si>
  <si>
    <t>Specifically engineered to fire torpedoes, stealth bombers represent the next generation in covert ops craft. The bombers are designed for sneak attacks on large vessels with powerful missile guidance technology enabling the torpedoes to strike faster and from a longer distance. Developer: Viziam. Viziam ships are quite possibly the most durable ships money can buy. Their armor is second to none and that, combined with superior shields, makes them hard nuts to crack. Of course this does mean they are rather slow and possess somewhat more limited weapons and electronics options.</t>
  </si>
  <si>
    <t>Specifically engineered to fire torpedoes, stealth bombers represent the next generation in covert ops craft. The bombers are designed for sneak attacks on large vessels with powerful missile guidance technology enabling the torpedoes to strike faster and from a longer distance. Developer: Lai Dai. Lai Dai have always favored a balanced approach to their mix of on-board systems, leading to a line-up of versatile ships.</t>
  </si>
  <si>
    <t>Specifically engineered to fire torpedoes, stealth bombers represent the next generation in covert ops craft. The bombers are designed for sneak attacks on large vessels with powerful missile guidance technology enabling the torpedoes to strike faster and from a longer distance. Developer: Duvolle Laboratories. Duvolle Labs manufactures sturdy ships with a good mix of offensive and defensive capabilities. Being the foremost manufacturer of particle blasters, its ships tend to favor turrets and thus have somewhat higher power output than normal.</t>
  </si>
  <si>
    <t>Specifically engineered to fire torpedoes, stealth bombers represent the next generation in covert ops craft. The bombers are designed for sneak attacks on large vessels with powerful missile guidance technology enabling the torpedoes to strike faster and from a longer distance. Developer: Boundless Creation. Boundless Creation ships are based on the Brutor tribe's philosophy of warfare: simply fit as much firepower onto your ship as humanly possible. On the other hand, defense systems and "cheap tricks" like electronic warfare have never been a high priority.</t>
  </si>
  <si>
    <t>Designed for commando and espionage operation, its main strength is the ability to travel unseen through enemy territory and to avoid unfavorable encounters. Developer: Thukker Mix. It is unclear how Thukker Mix could master the intricacies of cloaking technology so quickly after the fall of Crielere. According to Professor Oggand Viftuin, head of R&amp;D; the tribe managed to recruit some senior Caldari scientist that used to work on the Mirage Project at Crielere. Ishukone has denied this, claiming that the Thukkers aquired the technology from prototypes stolen by the Guristas.</t>
  </si>
  <si>
    <t>Guépard</t>
  </si>
  <si>
    <t>112</t>
  </si>
  <si>
    <t>Crusader</t>
  </si>
  <si>
    <t>Spe.</t>
  </si>
  <si>
    <t>Effectively combining the trapping power of interdictors with the defensive capabilities of heavy assault ships, the heavy interdictor is an invaluable addition to any skirmish force, offensive or defensive. Heavy interdictors are the only ships able to use the warp disruption field generator, a module which creates a warp disruption field that moves with the origin ship wherever it goes. Viziam ships are quite possibly the most durable ships money can buy. Their armor is second to none and that, combined with superior shields, makes them hard nuts to crack. Of course this does mean they are rather slow and possess somewhat more limited weapons and electronics options.</t>
  </si>
  <si>
    <t>Mothership</t>
  </si>
  <si>
    <t>[Prod.xls]Prod II'!G19</t>
  </si>
  <si>
    <t>[Prod.xls]Prod II'!G29</t>
  </si>
  <si>
    <t>[Prod.xls]Prod II'!G30</t>
  </si>
  <si>
    <t>34</t>
  </si>
  <si>
    <t>114</t>
  </si>
  <si>
    <t>Condor</t>
  </si>
  <si>
    <t>Thrasher</t>
  </si>
  <si>
    <t>Tempest Fleet issue</t>
  </si>
  <si>
    <t>Vindicator</t>
  </si>
  <si>
    <t>Ashimmu</t>
  </si>
  <si>
    <t>Caracal Navy Issue</t>
  </si>
  <si>
    <t>Cynabal</t>
  </si>
  <si>
    <t>049</t>
  </si>
  <si>
    <t>Myrmidon</t>
  </si>
  <si>
    <t>079</t>
  </si>
  <si>
    <t>[Prod.xls]Prod'!G54</t>
  </si>
  <si>
    <t>[Prod.xls]Prod'!G55</t>
  </si>
  <si>
    <t>The Executioner is another newly commissioned ship of the Amarr Imperial Navy. The Executioner was designed specially to counter the small, fast raider frigates of the Minmatar Republic; thus it is different from most Amarr ships in favoring speed over defenses. With the Executioner, the Amarrians have expanded their tactical capabilities on the battlefield.</t>
  </si>
  <si>
    <t>Bourreau</t>
  </si>
  <si>
    <t>Mackinaw</t>
  </si>
  <si>
    <t>Vexor Navy issue</t>
  </si>
  <si>
    <t>[Prod.xls]Prod'!G122</t>
  </si>
  <si>
    <t>[Prod.xls]Prod'!G123</t>
  </si>
  <si>
    <t>[Prod.xls]Prod'!G124</t>
  </si>
  <si>
    <t>Midas</t>
  </si>
  <si>
    <t>Volume</t>
  </si>
  <si>
    <t>Right from its very appearance on a battlefield, the Harbinger proclaims its status as a massive weapon, a laser burning through the heart of the ungodly. Everything about it exhibits this focused intent, from the lights on its nose and wings that root out the infidels, to the large number of turreted high slots that serve to destroy them. Should any heathens be left alive after the Harbinger's initial assault, its drones will take care of them.</t>
  </si>
  <si>
    <t>045</t>
  </si>
  <si>
    <t>Command</t>
  </si>
  <si>
    <t>Augure</t>
  </si>
  <si>
    <t>074</t>
  </si>
  <si>
    <t>Special Ability: 10% bonus to Medium Energy Turret capacitor use per level and 5% bonus to all Armor Resistances per level.</t>
  </si>
  <si>
    <t>Already possessing a reputation despite its limited initial circulation, the Harpy is a powerful railgun platform with long range capability and strong defensive systems. Formidable both one-on-one and as a support ship, it was referred to as the "little Moa" by the pilots who participated in its safety and performance testing. Developer: Ishukone. Ishukone created the Harpy as a long-range support frigate for defense of Ishukone holdings as well as increased muscle and visibility in the constantly shifting game of cold war the Caldari megacorps' police forces play amongst themselves.</t>
  </si>
  <si>
    <t>Harpie</t>
  </si>
  <si>
    <t>099</t>
  </si>
  <si>
    <t>Hawk</t>
  </si>
  <si>
    <t>Dev.</t>
  </si>
  <si>
    <t>(ME0 perfect)</t>
  </si>
  <si>
    <t>Special Ability: 10% bonus to Small Energy Turret capacitor use and 5% bonus to tracking Disruptor effectiveness per skill level.</t>
  </si>
  <si>
    <t>[Prod.xls]Prod'!G223</t>
  </si>
  <si>
    <t>Industrial Command Ship</t>
  </si>
  <si>
    <t>Orca</t>
  </si>
  <si>
    <t>Command/Mining/Transport</t>
  </si>
  <si>
    <t>Orque</t>
  </si>
  <si>
    <t>à vide</t>
  </si>
  <si>
    <t>vitesse</t>
  </si>
  <si>
    <t>de base</t>
  </si>
  <si>
    <t>Masse</t>
  </si>
  <si>
    <t>AB eff</t>
  </si>
  <si>
    <t>est</t>
  </si>
  <si>
    <t>AB</t>
  </si>
  <si>
    <t>eff</t>
  </si>
  <si>
    <t>MWD</t>
  </si>
  <si>
    <t>all 5</t>
  </si>
  <si>
    <t>Thrust</t>
  </si>
  <si>
    <t>Mottled, dark red, and shaped like a leech, the Cruor presents a fitting metaphor for the Blood Raiders’ philosophy. Designed almost solely to engage in their disturbingly effective tactic of energy draining and stasis webbing, this ship is a cornerstone in any effective Blood Raider fleet – and could play an intriguing role in more standard ones.</t>
  </si>
  <si>
    <t>Energy</t>
  </si>
  <si>
    <t>Range</t>
  </si>
  <si>
    <t>Destroyer Skill Bonus: 25% bonus to Small Projectile Turret damage and 50% bonus to Small Projectile Turret tracking speed per level. Interdictors Skill Bonus: 10% bonus to Small Projectile Turret falloff and 10% bonus to Interdiction Sphere Launcher rate of fire per level. Special Ability: Interdiction Sphere Launchers require 99% less CPU when fitted on this ship.</t>
  </si>
  <si>
    <t>Max locked targ</t>
  </si>
  <si>
    <t>Scan reso</t>
  </si>
  <si>
    <t>LADAR</t>
  </si>
  <si>
    <t>Magnetometric</t>
  </si>
  <si>
    <t>Minmatar</t>
  </si>
  <si>
    <t>Of the meticulous craftsmanship the Caldari are renowned for, the Drake was born. It was found beneath such a ship to rely on anything other than the time-honored combat tradition of missile fire, while the inclusion of sufficient CPU capabilities for decent electronic warfare goes without saying.</t>
  </si>
  <si>
    <t>Canard</t>
  </si>
  <si>
    <t>Hulk</t>
  </si>
  <si>
    <t>Dominix</t>
  </si>
  <si>
    <t xml:space="preserve"> </t>
  </si>
  <si>
    <t>With the Maelstrom, versatility is the name of the game. Its defensive capabilities make it ideally suited for small raid groups or solo work, while its 8 turret hardpoints present opportunities for untold carnage on the fleet battlefield.</t>
  </si>
  <si>
    <t>034</t>
  </si>
  <si>
    <t>Electronic attack ships are mobile, resilient electronic warfare platforms. Although well suited to a variety of situations, they really come into their own in skirmish and fleet encounters, particularly against larger ships. For anyone wanting to decentralize their fleet’s electronic countermeasure capabilities and make them immeasurably harder to counter, few things will serve better than a squadron or two of these little vessels. Duvolle Labs manufactures sturdy ships with a good mix of offensive and defensive capabilities. Since the company is one of New Eden’s foremost manufacturers of particle blasters, its ships tend to favor turrets and thus have somewhat higher power output than normal.</t>
  </si>
  <si>
    <t>Gallente Titan Skill Bonuses : 10% bonus to Capital Hybrid Turret damage per level. 7.5% bonus to gang members’ maximum armor HP per level. 99% reduction in CPU need for Jump Portal Generator I. 99% reduction in CPU need for Aurora Ominae. 99% reduction in CPU need for Clone Vat Bay. 99% reduction in CPU need for Warfare Link modules. Can fit 1 additional Warfare Link module per level.</t>
  </si>
  <si>
    <t>06/2007</t>
  </si>
  <si>
    <t>Designed by master starship engineers and constructed in the royal shipyards of the Emperor himself, the imperial issue of the dreaded Apocalypse battleship is held in awe throughout the Empire. Given only as an award to those who have demonstrated their fealty to the Emperor in a most exemplary way, it is considered a huge honor to command -- let alone own -- one of these majestic and powerful battleships.</t>
  </si>
  <si>
    <t>Oneiros</t>
  </si>
  <si>
    <t>17738</t>
  </si>
  <si>
    <t>17726</t>
  </si>
  <si>
    <t>17709</t>
  </si>
  <si>
    <t>17720</t>
  </si>
  <si>
    <t>17922</t>
  </si>
  <si>
    <t>Gallente Freighter Skill Bonus: 5% bonus to cargo hold capacity and 5% bonus to maximum velocity per level</t>
  </si>
  <si>
    <t>Kitsune</t>
  </si>
  <si>
    <t>Onyx</t>
  </si>
  <si>
    <t>08</t>
  </si>
  <si>
    <t>Expanders</t>
  </si>
  <si>
    <t>The Scythe-class cruiser is the oldest Minmatar ship still in use. It has seen many battles and is an integrated part in Minmatar tales and heritage. Recent firmware upgrades "borrowed" from the Caldari have vastly increased the efficiency of its mining output.</t>
  </si>
  <si>
    <t>Faux</t>
  </si>
  <si>
    <t>Battlecruiser Skill Bonus: 50% bonus to Medium Hybrid Turret optimal range and 25% bonus to all shield resistances. Command Ships Skill Bonus: 10% bonus to Medium Hybrid Turret optimal range and 3% bonus to effectiveness of Siege Warfare Links per level. Role Bonus: 99% reduction in Warfare Link module CPU need. Can use 3 Warfare Link modules simultaneously.</t>
  </si>
  <si>
    <t>Interdictors are destroyer-sized vessels built to fill a single important tactical niche: the breaching of enemy warp tunnels. Capable of launching warp-disrupting interdiction spheres, interdictors are of great value in locations of strategic importance where enemy movement must be restricted. Additionally, much like their destroyer-class progenitors, they are well-suited to offensive strikes against frigate-sized craft. Developer: Khanid Innovations. In addition to robust electronics systems, the Khanid Kingdom's ships possess advanced armor alloys capable of withstanding a great deal of punishment. Generally eschewing the use of turrets, they tend to gear their vessels more towards close-range missile combat.</t>
  </si>
  <si>
    <t>Special Ability: 15% bonus to ECM Target Jammer strength and 10% bonus to ECM Target Jammers' capacitor need per level.</t>
  </si>
  <si>
    <t>154</t>
  </si>
  <si>
    <t>Shuttle - Minmatar</t>
  </si>
  <si>
    <t>155</t>
  </si>
  <si>
    <t>Capsule</t>
  </si>
  <si>
    <t>POD</t>
  </si>
  <si>
    <t>156</t>
  </si>
  <si>
    <t>Providence</t>
  </si>
  <si>
    <t>Freighter</t>
  </si>
  <si>
    <t>Abaddon</t>
  </si>
  <si>
    <t>Assault</t>
  </si>
  <si>
    <t>The Procurer is the smallest of a ship class designed by the ORE Syndicate to facilitate the advancement of the mining profession to a new level. Mining barges are equipped with electronic subsystems specifically designed to accommodate Strip Mining modules. Coupled with a sizable cargo hold and a goodly drone bay, this makes them extremely efficient ore extraction vessels.</t>
  </si>
  <si>
    <t>Procureur</t>
  </si>
  <si>
    <t>1er</t>
  </si>
  <si>
    <t>The Incursus is commonly found spearheading Gallentean military operations. Its speed and surprising strength make it excellent for skirmishing duties. Incursus-class ships move together in groups and can quickly and effectively gang up on ships many times their size and overwhelm them. In recent years the Incursus has increasingly found its way into the hands of pirates, who love its aggressive appearance.</t>
  </si>
  <si>
    <t>Thorax</t>
  </si>
  <si>
    <t>17841</t>
  </si>
  <si>
    <t>17930</t>
  </si>
  <si>
    <t>As with other Sansha ships, not much is known about the origin of this design. Its form -- while harshly alien in shape -- bears the mark of extremely advanced physics research, lines and corners coalescing to form a shape whose resilience and structural integrity are hard to match. Coupled with advanced hardpoint technology and an extremely efficient powercore, the Phantasm’s legendary status is well-deserved.</t>
  </si>
  <si>
    <t>Megathron</t>
  </si>
  <si>
    <t>Fr</t>
  </si>
  <si>
    <t>[Prod.xls]Prod II'!G31</t>
  </si>
  <si>
    <t>[Prod.xls]Prod II'!G32</t>
  </si>
  <si>
    <t>[Prod.xls]Prod II'!G20</t>
  </si>
  <si>
    <t>The Fleet Tempest originally came into being as a variant licensed by the Fleet to Core Complexions, Inc., who intended to improve on the existing design with their now-famous emphasis on strong defensive capability. The designer, one Enoksur Steidentet, performed so well in this task that the Fleet promptly bought all rights to the design back from him for undisclosed billions, catapulting his small production and design corp into the major leagues.</t>
  </si>
  <si>
    <t>Commissioned by the Republic Fleet to create a powerful assault vessel for the strengthening of the Matari tribes as well as a commercial platform for the Howitzers and other guns produced by the Fleet, Boundless Creation came up with the Muninn. Heavily armored, laden with turret hardpoints and sporting the latest in projectile optimization technology, this is the very definition of a gunboat. Developer: Boundless Creation. Boundless Creation's ships are based on the Brutor tribe's philosophy of warfare: simply fit as much firepower onto your ship as is humanly possible. The Muninn is far from being an exception.</t>
  </si>
  <si>
    <t>Muninn (scandinavie : corbeau messagé d'Odin)</t>
  </si>
  <si>
    <t>059</t>
  </si>
  <si>
    <t>Vagabond</t>
  </si>
  <si>
    <t>Tank</t>
  </si>
  <si>
    <t>Carrier</t>
  </si>
  <si>
    <t>The fastest cruiser invented to date, this vessel is ideal for hit-and-run ops where both speed and firepower are required. Its on-board power core may not be strong enough to handle some of the larger weapons out there, but when it comes to guerilla work, the Vagabond can't be beat. Developer: Thukker Mix. Improving on the original Stabber design, Thukker Mix created the Vagabond as a cruiser-sized skirmish vessel equally suited to defending mobile installations and executing lightning strikes at their enemies. Honoring their tradition of building the fastest vessels to ply the spacelanes, they count the Vagabond as one of their crowning achievements.</t>
  </si>
  <si>
    <t>060</t>
  </si>
  <si>
    <t>Guardian</t>
  </si>
  <si>
    <t>Support</t>
  </si>
  <si>
    <t>Caldari Frigate Skill Bonus: 100% bonus to ECM target jammer strength and 75% reduction in ECM target jammers' capacitor need. Electronic Attack Ships Skill Bonus: 10% bonus to ECM target jammer optimal range and 5% bonus to capacitor capacity per level</t>
  </si>
  <si>
    <t>The Navitas is a solid mining vessel, in wide use by independent excavators. It is also one of the best ships available for budding traders or even scavengers. The long-range scanners and sturdy outer shell of the ship help to protect the ship from harassment.</t>
  </si>
  <si>
    <t>Navitas (latin : Energie)</t>
  </si>
  <si>
    <t>Designed as much to look like a killing machine as to be one, the Ferox will strike fear into the heart of anyone unlucky enough to get caught in its crosshairs. With the potential for sizable armament as well as tremendous electronic warfare capability, this versatile gunboat is at home in a great number of scenarios.</t>
  </si>
  <si>
    <t>Féroce</t>
  </si>
  <si>
    <t>048</t>
  </si>
  <si>
    <t>Special Ability: 5% bonus to Small Energy Turret capacitor use and 5% reduction to duration/activation time of modules requiring Astrometrics.</t>
  </si>
  <si>
    <t>Electronic attack ships are mobile, resilient electronic warfare platforms. Although well suited to a variety of situations, they really come into their own in skirmish and fleet encounters, particularly against larger ships. For anyone wanting to decentralize their fleet’s electronic countermeasure capabilities and make them immeasurably harder to counter, few things will serve better than a squadron or two of these little vessels. Lai Dai have always favored a balanced approach to their mix of on-board systems, leading to a line-up of versatile ships but providing very little in terms of tactical specialization.</t>
  </si>
  <si>
    <t>Cargo</t>
  </si>
  <si>
    <t>While its utilitarian look may not give much of an indication, many are convinced that the Machariel is based on an ancient Jovian design uncovered by the Angel Cartel in one of their extensive exploratory raids into uncharted territory some years ago. Whatever the case may be, this behemoth appeared on the scene suddenly and with little fanfare, and has very quickly become one of the Arch Angels’ staple war vessels.</t>
  </si>
  <si>
    <t>Force recon ships are the cruiser-class equivalent of covert ops frigates. While not as resilient as combat recon ships, they are nonetheless able to do their job as reconaissance vessels very effectively, due in no small part to their ability to interface with covert ops cloaking devices and set up cynosural fields for incoming capital ships. Developer: Ishukone. Most of the recent designs off their assembly line have provided for a combination that the Ishukone name is becoming known for: great long-range capabilities and shield systems unmatched anywhere else.</t>
  </si>
  <si>
    <t>Faucon</t>
  </si>
  <si>
    <t>067</t>
  </si>
  <si>
    <t>Rook</t>
  </si>
  <si>
    <t>3</t>
  </si>
  <si>
    <t>The Rupture is slow for a Minmatar ship, but it more than makes up for it in power. The Rupture has superior firepower and is used by the Minmatar Republic both to defend space stations and other stationary objects and as part of massive attack formations.</t>
  </si>
  <si>
    <t>086</t>
  </si>
  <si>
    <t>Having long suffered the lack of an adequate hybrid platform, the Caldari State's capsule pilots found themselves rejoicing as the Rokh's design specs were released. A fleet vessel if ever there was one, this far-reaching and durable beast is expected to see a great deal of service on battlefields near and far.</t>
  </si>
  <si>
    <t>Roc (persan : oiseau mythique géant)</t>
  </si>
  <si>
    <t>029</t>
  </si>
  <si>
    <t>Ewar</t>
  </si>
  <si>
    <t>TRI</t>
  </si>
  <si>
    <t>EVE II</t>
  </si>
  <si>
    <t>Mastodonte</t>
  </si>
  <si>
    <t>164</t>
  </si>
  <si>
    <t>Prorator</t>
  </si>
  <si>
    <t xml:space="preserve">Command ships are engineered specifically to wreak havoc on a battlefield of many. Sporting advanced command module interfaces, these vessels are more than capable of turning the tide in large engagements. Fleet command ships represent the ultimate in warfare link efficiency; while not packing the punch of their field command counterparts, the boosts they give their comrades in combat make them indispensable assets to any well-rounded fleet. Developer: Core Complexion. Core Complexion's ships are unusual in that they favor electronics and defense over the "lots of guns" approach traditionally favored by the Minmatar. </t>
  </si>
  <si>
    <t>043</t>
  </si>
  <si>
    <t>Sleipnir</t>
  </si>
  <si>
    <t>Rech.</t>
  </si>
  <si>
    <t>[Prod.xls]Prod II'!G82</t>
  </si>
  <si>
    <t>[Prod.xls]Prod II'!G83</t>
  </si>
  <si>
    <t xml:space="preserve">Battlecruiser Skill Bonus: 5% bonus to Medium Projectile Turret rate of fire and 7.5% bonus to shield boosting per level. 99% reduction in the CPU need of Warfare Link modules. </t>
  </si>
  <si>
    <t>The Megathron has established itself as one of the most feared and respected battleships around. Since its first appearance almost two decades ago it has seen considerable service in the troublesome regions on the outskirts of the Federation, helping to expand and defend Gallentean influence there. The Federate Issue is a unique ship, commissioned by Gallentean president Foiritan as an honorary award given to those individuals whose outstanding achivements benefit the entire Federation.</t>
  </si>
  <si>
    <t>[Prod.xls]Prod'!G58</t>
  </si>
  <si>
    <t>Insurance Payout</t>
  </si>
  <si>
    <t>Insurance Cost</t>
  </si>
  <si>
    <t xml:space="preserve">Special Ability: 20% bonus to mining laser yield per level. 10% bonus to capacitor use of shield transporters per level. 500% bonus to range of shield transporters. </t>
  </si>
  <si>
    <t>Nyx (grec : déesse de la nuit)</t>
  </si>
  <si>
    <t>Thanatos (grec : dieu de la mort)</t>
  </si>
  <si>
    <t>143</t>
  </si>
  <si>
    <t>Templar</t>
  </si>
  <si>
    <t>Fighter</t>
  </si>
  <si>
    <t>Drone</t>
  </si>
  <si>
    <t>Destroyer</t>
  </si>
  <si>
    <t>Interceptor</t>
  </si>
  <si>
    <t>Transport</t>
  </si>
  <si>
    <t>Much praised by its proponents and much maligned by its detractors, the Typhoon-class battleship has always been one of the most hotly debated spacefaring vessels around. Its distinguishing aspect - and the source of most of the controversy - is its sheer versatility, variously seen as either a lack of design focus or a deliberate freedom for pilot modification.</t>
  </si>
  <si>
    <t>Destroyer Skill Bonus: 25% bonus to rocket damage and 25% bonus to rocket and missile explosion velocity. Interdictors Skill Bonus: 10% bonus to missile velocity and 10% bonus to Interdiction Sphere Launcher rate of fire per level. Special Ability: Interdiction Sphere Launchers require 99% less CPU when fitted on this ship.</t>
  </si>
  <si>
    <t>Destroyer Skill Bonus: 50% bonus to Rocket and Light Missile velocity and 15% reduction of Light Missile damage reduction factor per level. Interdictors Skill Bonus: 5% bonus to Rocket and Light Missile kinetic damage and 10% bonus to Interdiction Sphere Launcher rate of fire per level. Special Ability: Interdiction Sphere Launchers require 99% less CPU when fitted on this ship</t>
  </si>
  <si>
    <t>Caldari Industrial Skill Bonus: 25% cargo capacity and 25% velocity per level. Transport Ships Skill Bonus: 5% shield booster boost amount and -10% bonus to cpu need of covert ops cloaks per level. Role Bonus: can fit covert ops cloaks.</t>
  </si>
  <si>
    <t>Gallente Industrial Skill Bonus: 25% cargo capacity and 25% velocity per level. Transport Ships Skill Bonus: -5% armor repair duration and -10% bonus to cpu need of covert ops cloaks per level. Role Bonus: can fit covert ops cloaks.</t>
  </si>
  <si>
    <t>Special Ability: 10% bonus to Large Energy Turret capacitor use and 5% Large Energy Turret rate of fire per level.</t>
  </si>
  <si>
    <t>x</t>
  </si>
  <si>
    <t>Black Ops battleships are designed for infiltration and espionage behind enemy lines. With the use of a short-range jump drive and a portal generator, they are capable of making a special type of jump portal usable only by covert ops vessels. This enables them to stealthily plant reconnaissance and espionage forces in enemy territory. For the final word in clandestine maneuvers, look no further. Viziam ships are quite possibly the most durable ships money can buy. Their armor is second to none and that, combined with superior shields, makes them hard nuts to crack. Of course this does mean they are rather slow and possess somewhat more limited weapons and electronics options.</t>
  </si>
  <si>
    <t>Mirmidon (grec : type de gladiateur)</t>
  </si>
  <si>
    <t>Cerbère (grec : gardien de l’entrée des enfers)</t>
  </si>
  <si>
    <t>Manticore (perse)</t>
  </si>
  <si>
    <t>Léviathan (bible : monstre marin)</t>
  </si>
  <si>
    <t>Chimère (grec)</t>
  </si>
  <si>
    <t>Vouivre</t>
  </si>
  <si>
    <t>Libéllule</t>
  </si>
  <si>
    <t>Navette Amarr</t>
  </si>
  <si>
    <t>Navette Caldari</t>
  </si>
  <si>
    <t>Navette Gallente</t>
  </si>
  <si>
    <t>Navette Minmatar</t>
  </si>
  <si>
    <t>Fir Bolg (celte : peuple d'Irlande)</t>
  </si>
  <si>
    <t>Einherjar (scandinave : esprit d'un guerrier d'exception)</t>
  </si>
  <si>
    <t>Harbinger</t>
  </si>
  <si>
    <t>Herbergeor (vieux français, qui prévois la venue de quelquechose, synonyme : Héraut)</t>
  </si>
  <si>
    <t>Masse (de l'anglais Maul : Masse ou maillet)</t>
  </si>
  <si>
    <t>11</t>
  </si>
  <si>
    <t>184</t>
  </si>
  <si>
    <t>185</t>
  </si>
  <si>
    <t>186</t>
  </si>
  <si>
    <t>187</t>
  </si>
  <si>
    <t>188</t>
  </si>
  <si>
    <t>189</t>
  </si>
  <si>
    <t>190</t>
  </si>
  <si>
    <t>191</t>
  </si>
  <si>
    <t>192</t>
  </si>
  <si>
    <t>193</t>
  </si>
  <si>
    <t>194</t>
  </si>
  <si>
    <t>195</t>
  </si>
  <si>
    <t>Battlecruiser Skill Bonus: 50% bonus to Heavy Assault Missile and Heavy Missile velocity and 25% bonus to all armor resistances. Command Ships Skill Bonus: 10% bonus to armor hitpoints and 3% bonus to effectiveness of Armored Warfare Links per level. Role Bonus: 99% reduction in Warfare Link module CPU need. Can use 3 Warfare Link modules simultaneously.</t>
  </si>
  <si>
    <t>priceless</t>
  </si>
  <si>
    <t>Enyo (grec : déesse de la guerre)</t>
  </si>
  <si>
    <t>101</t>
  </si>
  <si>
    <t>Ishkur</t>
  </si>
  <si>
    <t>Special Ability: 25% bonus to Medium Projectile Turret rate of fire. Minmatar Cruiser Skill Bonus: 5% bonus to Medium Projectile Turret damage per level. Gallente Cruiser Skill Bonus: 7,5% bonus to Medium Projectile Turret tracking speed per level.</t>
  </si>
  <si>
    <t>The Mackinaw is the medium-sized version of the second generation of mining vessels created by the ORE Syndicate. Exhumers, like their mining barge cousins, are equipped with electronic subsystems specifically designed to accommodate Strip Mining modules. They are also far more resilient, better able to handle the dangers of deep space. The Mackinaw is a specialty vessel, ideally suited for ice mining.</t>
  </si>
  <si>
    <t>182</t>
  </si>
  <si>
    <t>Skiff</t>
  </si>
  <si>
    <t>Procurer</t>
  </si>
  <si>
    <t xml:space="preserve">Battlecruiser Skill Bonus: 10% reduction in Medium Energy Weapon capacitor use and 5% bonus to all armor resistances per level. 99% reduction in the CPU need of Warfare Link modules. </t>
  </si>
  <si>
    <t xml:space="preserve">Special Ability: 5% bonus to Medium Hybrid Turret Damage and Remote Sensor Dampener effectiveness per skill level. </t>
  </si>
  <si>
    <t>Battlecruiser Skill Bonus: 5% increase in projectile weapons damage and Rate of Fire. 99% reduction in the CPU need of Warfare Link modules.</t>
  </si>
  <si>
    <t>Battlecruiser</t>
  </si>
  <si>
    <t>Buse</t>
  </si>
  <si>
    <t>LX-54</t>
  </si>
  <si>
    <t>110</t>
  </si>
  <si>
    <t>Helios</t>
  </si>
  <si>
    <t>Maulus</t>
  </si>
  <si>
    <t>Caldari Freighter Skill Bonus: 5% bonus to cargo hold capacity and 5% bonus to agility per level. Jump Freighters Skill Bonus: 10% bonus to shield, armor and hull hitpoints and 10% reduction in jump fuel need per level</t>
  </si>
  <si>
    <t xml:space="preserve">Special Abilities: 5% bonus to kinetic missile damage per level. 5% bonus to Capital Launcher rate of fire per level. 99% reduction in CPU need for Siege Module </t>
  </si>
  <si>
    <t>[Prod.xls]Prod II'!G73</t>
  </si>
  <si>
    <t>Amarr PVP Drone ship</t>
  </si>
  <si>
    <t>Built to represent the last word in electronic warfare, combat recon ships have onboard facilities designed to maximize the effectiveness of electronic countermeasure modules of all kinds. Filling a role next to their class counterpart, the heavy assault ship, combat recon ships are the state of the art when it comes to anti-support support. They are also devastating adversaries in smaller skirmishes, possessing strong defensive capabilities in addition to their electronic superiority. Developer: Boundless Creation. Boundless Creation's ships are based on the Brutor tribe's philosophy of warfare: simply fit as much firepower onto your ship as possible. Defense systems and electronics arrays therefore tend to take a back seat to sheer annihilative potential.</t>
  </si>
  <si>
    <t>071</t>
  </si>
  <si>
    <t>Rapier</t>
  </si>
  <si>
    <t>The slicer is the Amarr Navy's pride and joy, and one of it's biggest weapons in the continual fight against Matari insurgents. Boasting tremendous range and versarility in equipment fitting, a great deal of armor strength and powerful capacitor, the skilled slicer pilot is able to take out most frigates with ease.</t>
  </si>
  <si>
    <t>Sensing the need for a more moderately-priced version of the Nyx, Federation Navy authorities commissioned the design of the Thanatos. Designed to act primarily as a fighter carrier for small- to mid-scale engagements, its significant defensive capabilities and specially-fitted fighter bays make it ideal for its intended purpose.</t>
  </si>
  <si>
    <t>014</t>
  </si>
  <si>
    <t>Hel</t>
  </si>
  <si>
    <t>Retribution</t>
  </si>
  <si>
    <t>[Prod.xls]Prod'!G26</t>
  </si>
  <si>
    <r>
      <t xml:space="preserve"> R</t>
    </r>
    <r>
      <rPr>
        <sz val="10"/>
        <color indexed="8"/>
        <rFont val="Arial"/>
        <family val="2"/>
      </rPr>
      <t>igs</t>
    </r>
  </si>
  <si>
    <t>Crucifier</t>
  </si>
  <si>
    <t>[Prod.xls]Prod'!G83</t>
  </si>
  <si>
    <t>[Prod.xls]Prod'!G90</t>
  </si>
  <si>
    <t>The Megathron has established itself as one of the most feared and respected battleships around. Since its first appearance almost two decades ago it has seen considerable service in the troublesome regions on the outskirts of the Federation, helping to expand and defend Gallentean influence there.</t>
  </si>
  <si>
    <t>Megatron (grec : Grand trone)</t>
  </si>
  <si>
    <t>033</t>
  </si>
  <si>
    <t>Maelstrom</t>
  </si>
  <si>
    <t>Often nicknamed The Fat Man this nimble little frigate is mainly used by the Federation in escort duties or on short-range patrols. The Tristan has been very popular throughout Gallente space for years because of its versatility. It is rather expensive, but buyers will definitely get their money's worth, as the Tristan is one of the more powerful frigates available on the market.</t>
  </si>
  <si>
    <t>Geared toward versatility and prolonged deployment in hostile environments, Marauders represent the cutting edge in today’s warship technology. While especially effective at support suppression and wreckage salvaging, they possess comparatively weak sensor strength and may find themselves at increased risk of sensor jamming. Nevertheless, these thick-skinned, hard-hitting monsters are the perfect ships to take on long trips behind enemy lines. Lai Dai have always favored a balanced approach to their mix of on-board systems, leading to a line-up of versatile ships but providing very little in terms of tactical specialization.</t>
  </si>
  <si>
    <t>Building Cost</t>
  </si>
  <si>
    <t>[Prod.xls]Prod'!G13</t>
  </si>
  <si>
    <t>[Prod.xls]Prod'!G14</t>
  </si>
  <si>
    <t>[Prod.xls]Prod'!G15</t>
  </si>
  <si>
    <t>Cr</t>
  </si>
  <si>
    <t>Amarr Cruiser Skill Bonus: 750% bonus to Remote Armor Repair System  and Energy Transfer Array range and 100% bonus to Armor Maintenance Bot transfer amount. Logistics Skill Bonus: 15% reduction in Remote Armor Repair System  and Energy Transfer Array capacitor use per level. Role Bonus: -65% power need for Remote Armor Repair Systems and -50% power need for Energy Transfer Arrays</t>
  </si>
  <si>
    <t>Minmatar Cruiser Skill Bonus: 750% bonus to Shield Transport and Tracking Link range and 100% bonus to Shield Maintenance Bot transport amount. Logistics Skill Bonus: 15% reduction in Shield Transport capacitor use and 5% bonus to Tracking Link efficiency per level. Role Bonus: -50% CPU need for Shield Transporters.</t>
  </si>
  <si>
    <t>The Cyclone was created in order to meet the increasing demand for a vessel capable of providing muscle for frigate detachments while remaining more mobile than a battleship. To this end, the Cyclone's eight high-power slots and powerful thrusters have proved ideal.</t>
  </si>
  <si>
    <t>051</t>
  </si>
  <si>
    <t>Hurricane</t>
  </si>
  <si>
    <t>Kères (grec : divinités infernales, qui hantent les champs de bataille et conduisent les âmes des morts aux Enfers)</t>
  </si>
  <si>
    <t>Rapace</t>
  </si>
  <si>
    <t>Canoë (tribus amérindiennes des grands lacs)</t>
  </si>
  <si>
    <t>Gallente Battleship Skill Bonus: 25% bonus to large hybrid turret damage and 50% bonus to drone hit points and damage. Black Ops Skill Bonus: 5% bonus to agility and multiplies the cloaked velocity by 125% per level. Note: can fit covert cynosural field generators and covert jump portal generators. No targeting delay after decloaking.</t>
  </si>
  <si>
    <t>Use</t>
  </si>
  <si>
    <t>v</t>
  </si>
  <si>
    <t>Creodron surprised many by their quick conception of the Anshar, a stark diversification from their usual drone centric ship designs. The Anshar's specially-developed cargo-manipulation drones allowed Creodron to optimize their loading algorithms and fully utilize every nook and cranny of the ship's spacious interior, ensuring it more than holds its own amongst its peers. As the largest drone developer and manufacturer in space, CreoDron has a vested interest in drone carriers but has recently began to expand their design focus and employ drone techniques on whole other levels which has lead some to question where this leap in technology came from.</t>
  </si>
  <si>
    <t>Drones</t>
  </si>
  <si>
    <t>174</t>
  </si>
  <si>
    <t>Iteron mark III</t>
  </si>
  <si>
    <t>Iteron mk III</t>
  </si>
  <si>
    <t>175</t>
  </si>
  <si>
    <t>Iteron mark IV</t>
  </si>
  <si>
    <t>[Prod.xls]Prod'!G27</t>
  </si>
  <si>
    <t>[Prod.xls]Prod'!G28</t>
  </si>
  <si>
    <t>[Prod.xls]Prod'!G29</t>
  </si>
  <si>
    <t>[Prod.xls]Prod'!G30</t>
  </si>
  <si>
    <t>The Caldari Ibis frigate is a small but stout frigate that fits admirably well as a cargo hauler or small-scale miner. Its reliability makes it a good choice for novice ship captains</t>
  </si>
  <si>
    <t>CC-46</t>
  </si>
  <si>
    <t>149</t>
  </si>
  <si>
    <t>Velator</t>
  </si>
  <si>
    <t>Special Ability: 5% bonus to hybrid turret damage per skill level.</t>
  </si>
  <si>
    <t>The Opux Luxury Yachts are normally used by the entertainment industry for pleasure tours for wealthy Gallente citizens. These Opux Luxury Yacht cruisers are rarely seenoutside of Gallente controlled space, but are extremly popular within the Federation.</t>
  </si>
  <si>
    <t>Engineered as a supplement to its big brother the Cyclone, the Thrasher's tremendous turret capabilities and advanced tracking computers allow it to protect its larger counterpart from smaller, faster menaces</t>
  </si>
  <si>
    <t>Rosseur (raclée)</t>
  </si>
  <si>
    <t>096</t>
  </si>
  <si>
    <t>Naglfar (scandinave : navire fantôme fait des ongles des morts)</t>
  </si>
  <si>
    <t>Minmatar Battleship Skill Bonus: 25% bonus to large projectile turret rate of fire and 50% bonus to large projectile turret falloff. Marauder Skill Bonus: 7,5% bonus to shield boost amount and 7,5% bonus to large projectile turret tracking per level. Role Bonus: 100% bonus to large projectile weapon damage, 100% bonus to range and velocity of tractor beams.</t>
  </si>
  <si>
    <t>Purifier</t>
  </si>
  <si>
    <t>17</t>
  </si>
  <si>
    <t>[Prod.xls]Prod II'!G74</t>
  </si>
  <si>
    <t>[Prod.xls]Prod II'!G76</t>
  </si>
  <si>
    <t>[Prod.xls]Prod'!G80</t>
  </si>
  <si>
    <t>[Prod.xls]Prod'!G81</t>
  </si>
  <si>
    <t>[Prod.xls]Prod'!G82</t>
  </si>
  <si>
    <t>Devoter</t>
  </si>
  <si>
    <t>Phobos</t>
  </si>
  <si>
    <t>Broadsword</t>
  </si>
  <si>
    <t>Electronic Attack</t>
  </si>
  <si>
    <t>The force with which this ship hits is more than sufficient to leave a trail of shattered enemies, floating around like so much lifeless debris. An adaptable vessel, it has enough turret hardpoints for a full-scale assault while remaining versatile enough to allow for plenty of missile fire, and has both sufficient speed to outrun its enemies and sufficient capacitor charge to outlast them.</t>
  </si>
  <si>
    <t>Ouragan</t>
  </si>
  <si>
    <t>052</t>
  </si>
  <si>
    <t>Sacrilege</t>
  </si>
  <si>
    <t>Maller</t>
  </si>
  <si>
    <t>Heavy Assault</t>
  </si>
  <si>
    <t>Hérétique</t>
  </si>
  <si>
    <t>089</t>
  </si>
  <si>
    <t>Flycatcher</t>
  </si>
  <si>
    <t>Stiletto</t>
  </si>
  <si>
    <t>Special Ability: 5% large energy weapon rate of fire per level and 5% armor resistance per level</t>
  </si>
  <si>
    <t>4m</t>
  </si>
  <si>
    <t>5m</t>
  </si>
  <si>
    <t>6m</t>
  </si>
  <si>
    <t>7m</t>
  </si>
  <si>
    <t>8m</t>
  </si>
  <si>
    <t>Special Abilities : 7.5% bonus to Capital Projectile rate of fire per level. 5% bonus to Citadel Launcher rate of fire per level. 99% reduction in CPU need for Siege Module</t>
  </si>
  <si>
    <t>[Prod.xls]Prod II'!G69</t>
  </si>
  <si>
    <t>[Prod.xls]Prod II'!G72</t>
  </si>
  <si>
    <t>Amarr Titan Skill Bonuses : 10% reduction in Capital Energy Turret capacitor use per level. 5% bonus to Capital Energy Turret damage per level. 7.5% bonus to gang members’ capacitor recharge rate per level. 99% reduction in CPU need for Jump Portal Generator I. 99% reduction in CPU need for Judgment. 99% reduction in CPU need for Clone Vat Bay. 99% reduction in CPU need for Warfare Link modules. Can fit 1 additional Warfare Link module per level.</t>
  </si>
  <si>
    <t>Gallente Frigate Skill Bonus: 5% bonus to Small Hybrid Weapon tracking speed and 5% bonus to Small Hybrid Turret damage per level</t>
  </si>
  <si>
    <t>[Prod.xls]Prod II'!G79</t>
  </si>
  <si>
    <t>[Prod.xls]Prod II'!G80</t>
  </si>
  <si>
    <t>[Prod.xls]Prod II'!G81</t>
  </si>
  <si>
    <t>Adaptive Augmenter</t>
  </si>
  <si>
    <t>The Auguror-class cruiser is one of the old warhorses of the Amarr Empire, having seen action in both the Jovian War and the Minmatar Rebellion. It is mainly used by the Amarrians for escort and scouting duties where frigates are deemed too weak. Like most Amarrian vessels, the Auguror depends first and foremost on its resilience and heavy armor to escape unscathed from unfriendly encounters.</t>
  </si>
  <si>
    <t xml:space="preserve">The Exequror is a heavy cargo cruiser capable of defending itself against raiding frigates, but lacks prowess in heavier combat situations. It is mainly used in relatively peaceful areas where bulk and strength is needed without too much investment involved. </t>
  </si>
  <si>
    <t>Amarr Carrier Skill Bonuses : 50% bonus to Capital Armor and Energy transfer range per level. 5% bonus to all Armor resistances per level. 99% reduction in CPU need for Clone Vat Bay. 99% reduction in CPU need for Warfare Link modules. 99% reduction in CPU need for Projected Electronic Counter Measures modules. 99% reduction in CPU need for Tactical Logistics Reconfiguration modules. Can deploy 3 additional Fighters per level. Can fit 1 additional Warfare Link module per level. 200% bonus to Fighter control range. Immune to all forms of Electronic Warfare.</t>
  </si>
  <si>
    <t>Supplemental Screening</t>
  </si>
  <si>
    <t>Adaptive Shielding</t>
  </si>
  <si>
    <t>CPU Efficiency Gate</t>
  </si>
  <si>
    <t>Subsystem Skill Bonus : 5% bonus to CPU per level.</t>
  </si>
  <si>
    <t>Subsystem Skill Bonus : 10% bonus to shield hitpoints per level.</t>
  </si>
  <si>
    <t>Subsystem Skill Bonus : 5% bonus to all shield resistances per level. 10% bonus to shield transporter effectiveness per level.</t>
  </si>
  <si>
    <t>Subsystem Skill Bonus : 10% bonus to shield booster effectiveness per level.</t>
  </si>
  <si>
    <t>Obfuscation Manifold</t>
  </si>
  <si>
    <t>Subsystem Skill Bonus : 10% bonus to ECM target jammer optimal range per level.</t>
  </si>
  <si>
    <t>Subsystem Skill Bonus : 5% bonus to capacitor capacity per level.</t>
  </si>
  <si>
    <t>Subsystem Skill Bonus : 5% reduction in capacitor recharge rate per level.</t>
  </si>
  <si>
    <t>Subsystem Skill Bonus : 5% bonus to power output per level.</t>
  </si>
  <si>
    <t>The Tormentor has been in service for many decades, mainly as a mining ship. It is not big enough to cut it as a battle frigate, but as with most Amarr ships its strong defenses make it a tough opponent to crack. Exactly for this and the way it seems to be curling up on itself has given the Tormentor-class the nickname 'Armadillo.'</t>
  </si>
  <si>
    <t>Tourmenteur</t>
  </si>
  <si>
    <t>125</t>
  </si>
  <si>
    <t>Bantam</t>
  </si>
  <si>
    <t>Claymore (épée à deux main Ecossaise)</t>
  </si>
  <si>
    <t>Extracteur / Récupérateur</t>
  </si>
  <si>
    <t>Mining Barge Skill Bonus: Able to equip Strip Miner and Ice Harvester turrets. 15% better yield for Strip Miners. 37.5% bonus to all shield resistances. Exhumers Skill Bonus: 5% reduction in Ice Harvester duration per level. Special Ability: 100% bonus Ice Harvester yield but +25% to Ice harvester duration.</t>
  </si>
  <si>
    <t>Mining Barge</t>
  </si>
  <si>
    <t>max téo.</t>
  </si>
  <si>
    <t>pakaged</t>
  </si>
  <si>
    <t>Inertia</t>
  </si>
  <si>
    <t>SH</t>
  </si>
  <si>
    <r>
      <t>__</t>
    </r>
    <r>
      <rPr>
        <sz val="10"/>
        <color indexed="9"/>
        <rFont val="Arial"/>
        <family val="2"/>
      </rPr>
      <t>Recharge</t>
    </r>
  </si>
  <si>
    <t>__Recharge</t>
  </si>
  <si>
    <t>Reso.</t>
  </si>
  <si>
    <t>Warp Speed</t>
  </si>
  <si>
    <t>Capa</t>
  </si>
  <si>
    <t>Fuel</t>
  </si>
  <si>
    <t>level</t>
  </si>
  <si>
    <t>Number</t>
  </si>
  <si>
    <t>libre</t>
  </si>
  <si>
    <t>SKILL</t>
  </si>
  <si>
    <t>+CE1</t>
  </si>
  <si>
    <t>+CE2</t>
  </si>
  <si>
    <t>+CE3</t>
  </si>
  <si>
    <t>+CE4</t>
  </si>
  <si>
    <t>+CE5</t>
  </si>
  <si>
    <t>+CE6</t>
  </si>
  <si>
    <t>In days past, only those in high favor with the Emperor could hope to earn the reward of commanding one of the majestic and powerful Apocalypse class battleships. In latter years, even though now in full market circulation, these golden, metallic monstrosities are still feared and respected as enduring symbols of Amarrian might.</t>
  </si>
  <si>
    <t>026</t>
  </si>
  <si>
    <t xml:space="preserve">Special Ability: 10% bonus to Large Energy Turret capacitor use and 5% Large Energy Turret rate of fire per level. </t>
  </si>
  <si>
    <t>Created specifically in order to counter the ever-increasing numbers of pirate invaders in Caldari territories, the Navy Issue Caracal has performed admirably in its task. Sporting added defensive capability as well as increased fitting potential, it is seeing ever greater use in defense of the homeland.</t>
  </si>
  <si>
    <t>The Firetail is modeled off a fighter frigate known as the Shamrock, a design used by a small, now-extinct pirate faction known as Lazari Dromitus. The blueprint found its way into the hands of Matari military forces after a raid on Lazari Dromitus’s headquarters succeeded in killing its leader, thus beheading the organization and scattering its remnants to the four winds. It has since been improved upon and upgraded, and the Firetail is now a mainstay in most Republic Fleet patrols.</t>
  </si>
  <si>
    <t>Ships like the Aeon have been with the Empire for a long time. They have remained a mainstay of Amarr expansion as, hopeful for a new beginning beyond the blasted horizon, whole cities of settlers sojourn from their time-worn homesteads to try their luck on infant worlds. The Aeon represents the largest ship of its kind in the history of the Empire, capable of functioning as a mobile citadel in addition to fielding powerful armaments.</t>
  </si>
  <si>
    <t>Eternité</t>
  </si>
  <si>
    <t>009</t>
  </si>
  <si>
    <t>Archon</t>
  </si>
  <si>
    <t xml:space="preserve">Interdictors are destroyer-sized vessels built to fill a single important tactical niche: the breaching of enemy warp tunnels. Capable of launching warp-disrupting interdiction spheres, interdictors are of great value in locations of strategic importance where enemy movement must be restricted. Additionally, much like their destroyer-class progenitors, they are well-suited to offensive strikes against frigate-sized craft. Developer: Core Complexion. Core Complexion's ships are unusual in that they favor electronics and defense over the "lots of guns" approach traditionally favored by the Minmatar. </t>
  </si>
  <si>
    <t>092</t>
  </si>
  <si>
    <t>Thorax (latin : plastron)</t>
  </si>
  <si>
    <t>083</t>
  </si>
  <si>
    <t>Vexor (du latin vexo : harasser)</t>
  </si>
  <si>
    <t>084</t>
  </si>
  <si>
    <t>[Prod.xls]Prod II'!G4</t>
  </si>
  <si>
    <t>Special Ability: 5% large hybrid weapon damage per level 7.5% bonus to armor repair amount of armor repair systems</t>
  </si>
  <si>
    <t>Worried that their hot-shot pilots would burn brightly in their eagerness to engage the enemy, the Federation Navy created a ship that encourages caution over foolhardiness. A hardier version of its counterpart, the Myrmidon is a ship designed to persist in battle. Its numerous medium and high slots allow it to slowly bulldoze its way through the opposition, while its massive drone space ensures that no enemy is left unscathed.</t>
  </si>
  <si>
    <t>050</t>
  </si>
  <si>
    <t>Interbus commissioned Duvolle Laboratories to design them an upgraded shuttlecraft in YC 106. The result was this vessel, which combines compact size with a surprisingly large cargo hold - ideal for the multipurpose transportation that Interbus specializes in. The ship remained a closely-guarded Interbus asset for many years, but in YC111 it was made available to select capsuleer pilots as part of an outreach programme intended to raise awareness of the Interbus brand among the growing capsuleer population. It remains, however, a very rare sight among the spacelanes and is considered by many to be a valuable collector's item.</t>
  </si>
  <si>
    <t>The Vexor Navy-Issued cruiser was originally designed to carry advanced on-board technologies requiring a great deal of skill to operate, but at the last moment the Federation Navy decided to scrap the more complex designs in favor of simple upgrades to the standard Vexor's armor, shields, hull and fitting options. The result: a monster of a combat cruiser.</t>
  </si>
  <si>
    <t>Hel (scandinave : déesse des enfers)</t>
  </si>
  <si>
    <t>Nídhögg (scandinave : serpent vivant sous Yggdrasil)</t>
  </si>
  <si>
    <t>Archonte</t>
  </si>
  <si>
    <t>Minmatar Industrial Skill Bonus: 25% cargo capacity and 25% velocity. Transport Ships Skill Bonus: 5% shield boost amount and 5% bonus to shield HP per level. Role Bonus: +2 warp strength.</t>
  </si>
  <si>
    <t>The Vigil is an unusual Minmatar ship, serving both as a long range scout as well as an electronic warfare platform. It is fast and agile, allowing it to keep the distance needed to avoid enemy fire while making use of jammers or other electronic gadgets.</t>
  </si>
  <si>
    <t>Veilleur</t>
  </si>
  <si>
    <t>The Wreathe is an old ship of the Minmatar Republic and one of the oldest ships still in usage. The design of the Wreathe is very plain, which is the main reason for its longevity, but it also makes the ship uncapable of handling anything but the most mundane tasks</t>
  </si>
  <si>
    <t>Vent sinueu</t>
  </si>
  <si>
    <t>180</t>
  </si>
  <si>
    <t>Covetor</t>
  </si>
  <si>
    <t>ORE</t>
  </si>
  <si>
    <t>Exhumer</t>
  </si>
  <si>
    <t>Propultion</t>
  </si>
  <si>
    <t>18</t>
  </si>
  <si>
    <t>Manticore</t>
  </si>
  <si>
    <t>20</t>
  </si>
  <si>
    <t>Citoyens, réjouissez vous ! Aujourd'hui, une grande étape a été réalisée par nos chefs glorieux. Une pierre de progression dans l'histoire grande de notre empire a été traversée. Nos différentes craintes peuvent être apaisées ; la sûreté de notre grande nation a été fixée. Aujourd'hui, ferme, nous avons marché la manière du guerrier. Dans des nos mains nos destins ont été moulés. Sur le Leviathan en arrière vouloir notre civilisation soit maison portée et les traces de l'ennemi purgé de nos âmes. Se réjouir, des citoyens ! La victoire est actuelle. - Brochure de bureau de l'information d'état de Caldari, ANNONCE 23248</t>
  </si>
  <si>
    <t>Minmatar Carrier Skill Bonuses : 50% bonus to Capital Armor and Shield transfer range per level. 5% bonus to Armor and Shield transfer amount per level. 99% reduction in CPU need for Warfare Link modules. 99% reduction in CPU need for Tactical Logistics Reconfiguration modules. Can deploy 1 additional Fighter per level. 200% bonus to Fighter control range.</t>
  </si>
  <si>
    <t>Silver Magnate</t>
  </si>
  <si>
    <t>[Prod.xls]Prod'!G91</t>
  </si>
  <si>
    <t>[Prod.xls]Prod'!G92</t>
  </si>
  <si>
    <t>[Prod.xls]Prod'!G93</t>
  </si>
  <si>
    <t>[Prod.xls]Prod'!G94</t>
  </si>
  <si>
    <t>[Prod.xls]Prod'!G95</t>
  </si>
  <si>
    <t>Blockade runner transports are the fastest type of industrial available. Utilizing sturdy but lightweight construction materials and sacrificing some cargo space, these haulers are able to reach speeds greater than those of a cruiser while withstanding heavy fire – factors which make them ideal for zipping through dangerous territories with valuable cargo.</t>
  </si>
  <si>
    <t>Prorateur</t>
  </si>
  <si>
    <t>165</t>
  </si>
  <si>
    <t>Crane</t>
  </si>
  <si>
    <t>Badger mk II</t>
  </si>
  <si>
    <t>Grue</t>
  </si>
  <si>
    <t>166</t>
  </si>
  <si>
    <t>The Abbadon class ship is a celestial tool of destruction. It is designed to enter combat from the outset, targeting enemies at range and firing salvo after salvo at them, and to remain intact on the battlefield until every heretic in sight has been torn to shreds.</t>
  </si>
  <si>
    <t>025</t>
  </si>
  <si>
    <t>Apocalypse</t>
  </si>
  <si>
    <t>Amarr Industrial Skill Bonus: 25% cargo capacity and 25% velocity per level. Transport Ships Skill Bonus: 5% armor repair amount and -10% bonus to cpu need of covert ops cloaks per level. Role Bonus: can fit covert ops cloaks.</t>
  </si>
  <si>
    <t>Gallente Carrier Skill Bonuses : 50% bonus to Capital Armor and Shield transfer range per level. 5% bonus to deployed Fighters’ damage per level. 99% reduction in CPU need for Clone Vat Bay. 99% reduction in CPU need for Warfare Link modules. 99% reduction in CPU need for Projected Electronic Counter Measures modules. 99% reduction in CPU need for Tactical Logistics Reconfiguration modules. Can deploy 3 additional Fighters per level. Can fit 1 additional Warfare Link module per level. 200% bonus to Fighter control range. Immune to all forms of Electronic Warfare.</t>
  </si>
  <si>
    <t>Sig Rad</t>
  </si>
  <si>
    <t>7</t>
  </si>
  <si>
    <t>4</t>
  </si>
  <si>
    <t>1</t>
  </si>
  <si>
    <t>6</t>
  </si>
  <si>
    <t>10</t>
  </si>
  <si>
    <t>2</t>
  </si>
  <si>
    <t>Wolf</t>
  </si>
  <si>
    <t>Jaguar</t>
  </si>
  <si>
    <t>Special Ability: 5% bonus to Large Hybrid Turret damage and 10% bonus to drone hitpoints and damage per skill level.</t>
  </si>
  <si>
    <t>Magnate</t>
  </si>
  <si>
    <t>[Prod.xls]Prod'!G222</t>
  </si>
  <si>
    <t>12/2003</t>
  </si>
  <si>
    <t>11/2004</t>
  </si>
  <si>
    <t>Castor</t>
  </si>
  <si>
    <t>Exodus</t>
  </si>
  <si>
    <t>07/2005</t>
  </si>
  <si>
    <t>Revelation II</t>
  </si>
  <si>
    <t>Cold War III</t>
  </si>
  <si>
    <t>Cold War II</t>
  </si>
  <si>
    <t>Cold War</t>
  </si>
  <si>
    <t>Exodus II</t>
  </si>
  <si>
    <t>Following in the footsteps of Caldari vessels since time immemorial, the Hawk relies on tremendously powerful shield systems to see it through combat, blending launchers and turrets to provide for a powerful, well-rounded combat vessel. Developer: Lai Dai. Lai Dai have always favored a balanced approach to their mix of on-board systems, leading to a line-up of versatile ships but providing very little in terms of tactical specialization.</t>
  </si>
  <si>
    <t>100</t>
  </si>
  <si>
    <t>Enyo</t>
  </si>
  <si>
    <t>Incursus</t>
  </si>
  <si>
    <t>Amarr Navy Slicer</t>
  </si>
  <si>
    <t>Capacitor</t>
  </si>
  <si>
    <t>Geared toward versatility and prolonged deployment in hostile environments, Marauders represent the cutting edge in today’s warship technology. While especially effective at support suppression and wreckage salvaging, they possess comparatively weak sensor strength and may find themselves at increased risk of sensor jamming. Nevertheless, these thick-skinned, hard-hitting monsters are the perfect ships to take on long trips behind enemy lines. Boundless Creation’s ships are based on the Brutor Tribe’s philosophy of warfare: simply fit as much firepower onto your ship as possible. Defense systems and electronics arrays therefore take a back seat to sheer annihilative potential.</t>
  </si>
  <si>
    <t>Engineering</t>
  </si>
  <si>
    <t>Augoror Navy Issue</t>
  </si>
  <si>
    <t>Shiva</t>
  </si>
  <si>
    <t>Shiva 2</t>
  </si>
  <si>
    <t>Kali 2</t>
  </si>
  <si>
    <t>Kali 3</t>
  </si>
  <si>
    <t>Revelation I</t>
  </si>
  <si>
    <t>11/2006</t>
  </si>
  <si>
    <t>Industrial</t>
  </si>
  <si>
    <t>Electronic attack ships are mobile, resilient electronic warfare platforms. Although well suited to a variety of situations, they really come into their own in skirmish and fleet encounters, particularly against larger ships. For anyone wanting to decentralize their fleet’s electronic countermeasure capabilities and make them immeasurably harder to counter, few things will serve better than a squadron or two of these little vessels. Viziam ships are quite possibly the most durable ships money can buy. Their armor is second to none and that, combined with superior shields, makes them hard nuts to crack. Of course this does mean they are rather slow and possess somewhat more limited weapons and electronics options.</t>
  </si>
  <si>
    <t>Arazu (babylone : dieu de la construction)</t>
  </si>
  <si>
    <t>069</t>
  </si>
  <si>
    <t>196</t>
  </si>
  <si>
    <t>197</t>
  </si>
  <si>
    <t>198</t>
  </si>
  <si>
    <t>Bay</t>
  </si>
  <si>
    <t>Redempteur</t>
  </si>
  <si>
    <t>Veuve</t>
  </si>
  <si>
    <t>Sîn (mésopotamie : dieu de la lune)</t>
  </si>
  <si>
    <t>Panthère</t>
  </si>
  <si>
    <t>Special Ability: 5% bonus to Medium Projectile Turret rate of fire and 5% bonus to Assault, Heavy Assault and Heavy Missile Launcher rate of fire per level.</t>
  </si>
  <si>
    <t>ing        12/2005</t>
  </si>
  <si>
    <t xml:space="preserve">Amarr Freighter Skill Bonus: 5% bonus to cargo hold capacity and 5% bonus to maximum velocity per level </t>
  </si>
  <si>
    <t>CW II</t>
  </si>
  <si>
    <t>CW III</t>
  </si>
  <si>
    <t>RMR</t>
  </si>
  <si>
    <t>REV</t>
  </si>
  <si>
    <t>REV II</t>
  </si>
  <si>
    <t>2nd Genesis</t>
  </si>
  <si>
    <t>05/2003</t>
  </si>
  <si>
    <t>One of the most ferocious war vessels to ever spring from Gallente starship design, the Brutix is a behemoth in every sense of the word. When this hard-hitting monster appears, the battlefield takes notice.</t>
  </si>
  <si>
    <t>Brutis (du latin brutus : borné)</t>
  </si>
  <si>
    <t>Taking what he had learned from his days in the Caldari Navy, Korako ‘The Rabbit’ Kosakami, Gurista leader, decided that he would rub salt in the State’s wounds by souping up their designs and making strikes against his former masters in ships whose layout was obviously stolen from them. To this end the Gila, bastard twin of the Moa, has served him well.</t>
  </si>
  <si>
    <t>Logistic</t>
  </si>
  <si>
    <t>Caldari Cruiser Skill Bonus: 25% bonus to Kinetic Missile damage and 50% bonus to Missile velocity. Heavy Assault Ship Skill Bonus: 10% bonus Light and Heavy Missile flight time and 5% bonus to Missile Launcher rate of fire per level</t>
  </si>
  <si>
    <t>[Prod.xls]Prod'!G52</t>
  </si>
  <si>
    <t>[Prod.xls]Prod'!G53</t>
  </si>
  <si>
    <t>[Prod.xls]Prod II'!G11</t>
  </si>
  <si>
    <t>[Prod.xls]Prod II'!G12</t>
  </si>
  <si>
    <t>[Prod.xls]Prod'!G97</t>
  </si>
  <si>
    <t>[Prod.xls]Prod'!G98</t>
  </si>
  <si>
    <t>[Prod.xls]Prod'!G99</t>
  </si>
  <si>
    <t>[Prod.xls]Prod'!G100</t>
  </si>
  <si>
    <t>[Prod.xls]Prod'!G101</t>
  </si>
  <si>
    <t>[Prod.xls]Prod'!G102</t>
  </si>
  <si>
    <t>[Prod.xls]Prod'!G221</t>
  </si>
  <si>
    <t>Iteron mark V</t>
  </si>
  <si>
    <t>Iteron mk V</t>
  </si>
  <si>
    <t>HP</t>
  </si>
  <si>
    <t>Total</t>
  </si>
  <si>
    <t>Appocalypse</t>
  </si>
  <si>
    <t>Anathema</t>
  </si>
  <si>
    <t>Buzzard</t>
  </si>
  <si>
    <t>Amarr Frigate Skill Bonus: 25% bonus to rocket damage and 25% reduction of capacitor recharge time. Covert Ops Skill Bonus: -98% to -100% reduced CPU need for cloaking device per level and 10% reduction to duration/activation time of modules requiring Astrometrics per level</t>
  </si>
  <si>
    <t>The Dominix is one of the old warhorses dating back to the Gallente-Caldari War. While no longer regarded as the king of the hill, it is by no means obsolete. Its formidable hulk and powerful weapons batteries means that anyone not in the largest and latest battleships will regret ever locking horns with it.</t>
  </si>
  <si>
    <t>Caldari Cruiser Skill Bonus: 25% bonus to kinetic missile damage and 25% bonus to shield resistances. Heavy Interdictors Skill Bonus: 10% bonus to heavy assault and heavy missile velocity and 5% bonus to range of warp disruption fields per level. Note: can fit warp disruption field generators.</t>
  </si>
  <si>
    <t>ID</t>
  </si>
  <si>
    <t>number</t>
  </si>
  <si>
    <t>11011</t>
  </si>
  <si>
    <t>Command ships are engineered specifically to wreak havoc on a battlefield of many. Sporting advanced command module interfaces, these vessels are more than capable of turning the tide in large engagements. Fleet command ships represent the ultimate in warfare link efficiency; while not packing the punch of their field command counterparts, the boosts they give their comrades in combat make them indispensable assets to any well-rounded fleet. Developer: Ishukone. Most of the recent designs off their assembly line have provided for a combination that the Ishukone name is becoming known for: great long-range capabilities and shield systems unmatched anywhere else.</t>
  </si>
  <si>
    <t>Vautour</t>
  </si>
  <si>
    <t>040</t>
  </si>
  <si>
    <t>Astarte</t>
  </si>
  <si>
    <t>Brutix</t>
  </si>
  <si>
    <t>Bhaalgorn</t>
  </si>
  <si>
    <t>Nightmare</t>
  </si>
  <si>
    <t>[Prod.xls]Prod'!G96</t>
  </si>
  <si>
    <t>Ark</t>
  </si>
  <si>
    <t>Rhea</t>
  </si>
  <si>
    <t>Anshar</t>
  </si>
  <si>
    <t>Nomad</t>
  </si>
  <si>
    <t>Jump Freighter</t>
  </si>
  <si>
    <t>199</t>
  </si>
  <si>
    <t>200</t>
  </si>
  <si>
    <t>201</t>
  </si>
  <si>
    <t>202</t>
  </si>
  <si>
    <t>[Prod.xls]Prod'!G84</t>
  </si>
  <si>
    <t>[Prod.xls]Prod'!G85</t>
  </si>
  <si>
    <t>[Prod.xls]Prod'!G86</t>
  </si>
  <si>
    <t>Caldari Frigate Skill Bonus: 5% bonus to Shield capacity and 10% bonus to Small Hybrid Turret optimal range per level</t>
  </si>
  <si>
    <t>Covert Ops</t>
  </si>
  <si>
    <t>Battleship</t>
  </si>
  <si>
    <t>Cruiser</t>
  </si>
  <si>
    <t>Viator (du latin : voyageur)</t>
  </si>
  <si>
    <t>167</t>
  </si>
  <si>
    <t>Prowler</t>
  </si>
  <si>
    <t>Wreathe</t>
  </si>
  <si>
    <t>Minmatar Cruiser Skill Bonus: 25% bonus to Medium Projectile Turret rate of fire and 37.5% bonus to target painter effectiveness. Recon Ships Skill Bonus: 60% bonus to stasis webifier range and 5% bonus to Heavy Missile Launcher and Assault Missile Launcher rate of fire per level</t>
  </si>
  <si>
    <t>Minmatar Cruiser Skill Bonus: 25% bonus to medium projectile turret rate of fire and 25% bonus to shield resistances. Heavy Interdictors Skill Bonus: 10% bonus to medium projectile turret falloff and 5% bonus to range of warp disruption fields per level. Note: can fit warp disruption field generators.</t>
  </si>
  <si>
    <t>The Vigilant was the first Gallente design the Guardian Angels would steal and make their own, but it wouldn't be the last. Building on the Thorax's natural strengths, it is a deadly vessel both by itself and in fleet tandem. A group of these sluggers is a sight to fear.</t>
  </si>
  <si>
    <t>Caldari ships have never been renowned for their speed. With this in mind, Caldari Navy engineers set about designing the Osprey Navy Issue. The fastest Caldari cruiser in existence and a formidable missile boat, this vessel gives Navy personnel and State loyalists alike greater opportunities to conduct true skirmish warfare than ever before.</t>
  </si>
  <si>
    <t>Exequror Navy issue</t>
  </si>
  <si>
    <t>40</t>
  </si>
  <si>
    <t>The Corvus is one of two ships created by Boundless Creation for the Caldari Gaming Commission. Its missile firepower and shield defense capacities are unmached. Coupled with superior electronic warfare systems and extensive drone capabilities, this makes it one of the deadliest ship in existence. The Corvus is given only to the winning team of the Caldari Alliance Championships.</t>
  </si>
  <si>
    <t>EX</t>
  </si>
  <si>
    <t>CW</t>
  </si>
  <si>
    <t>Black Ops battleships are designed for infiltration and espionage behind enemy lines. With the use of a short-range jump drive and a portal generator, they are capable of making a special type of jump portal usable only by covert ops vessels. This enables them to stealthily plant reconnaissance and espionage forces in enemy territory. For the final word in clandestine maneuvers, look no further. .Developer: CreoDron. As the largest drone developer and manufacturer in space, CreoDron has a vested interest in drone carriers. While sacrificing relatively little in the way of defensive capability, the Sin can chew its way through surprisingly strong opponents - provided, of course, that the pilot uses top-of-the-line CreoDron drones.</t>
  </si>
  <si>
    <t>Special Ability: 50% bonus to Heavy Missile velocity. Caldari Cruiser Skill Bonus: 5% bonus to Heavy Missile damage per level. Gallente Cruiser Skill Bonus: 10% bonus to Medium Hybrid Turret optimal range per level.</t>
  </si>
  <si>
    <t>[Prod.xls]Prod II'!G15</t>
  </si>
  <si>
    <t>[Prod.xls]Prod II'!G16</t>
  </si>
  <si>
    <t>[Prod.xls]Prod II'!G17</t>
  </si>
  <si>
    <t>[Prod.xls]Prod II'!G18</t>
  </si>
  <si>
    <t>The powerful Navy Megathron has seen the end of many a threat to the Federation’s security, and it’s only getting better. Recent improvements in the original design have paved the way for its use in a wider field of tactical operations than originally intended, making it one of the most useful war vessels to be found anywhere.</t>
  </si>
  <si>
    <t>Minmatar Frigate Skill Bonus: 25% bonus to Small Projectile Turret damage and 37,5% bonus to Small Projectile Turret tracking speed. Interceptors Skill Bonus: 15% reduction in MicroWarpdrive signature radius penalty and 5% bonus to Warp Scrambler and Warp Disruptor range per level. Role bonus: 80% reduction in Propulsion Jamming systems activation cost.</t>
  </si>
  <si>
    <t>Gallente Industrial Skill Bonus: 25% cargo capacity and 25% velocity. Transport Ships Skill Bonus: -5% armor repairer duration and 5% bonus to armor HP per level. Role Bonus: +2 warp strength.</t>
  </si>
  <si>
    <t>The Retribution is an homage to the glory days of the Empire, informed by classical Amarrian design philosophy: if it's strong, sturdy and packs a punch, it's ready for action. What this powerhouse lacks in speed and maneuverability it more than makes up for with its wide range of firepower possibilities and superb defensive ability. Developer: Carthum Conglomerate. Carthum ships are the very embodiment of the Amarrian warfare philosophy. Possessing sturdy armor and advanced weapon system they provide a nice mix of offence and defence.</t>
  </si>
  <si>
    <t>Recompense</t>
  </si>
  <si>
    <t>097</t>
  </si>
  <si>
    <t>Vengeance</t>
  </si>
  <si>
    <t>Amarr Cruiser Skill Bonus: 50% reduction in medium energy turret capacitor use and 25% bonus to armor resistances. Heavy Interdictors Skill Bonus: 5% bonus to medium energy turret rate of fire and 5% bonus to range of warp disruption fields per level. Note: can fit warp disruption field generators.</t>
  </si>
  <si>
    <t>Recon</t>
  </si>
  <si>
    <t>The Moa was designed as an all-out combat ship, and its heavy armament allows the Moa to tackle almost anything that floats in space. In contrast to it's nemesis the Thorax, Moas are most effective at long ranges where it's railguns and missile batteries can rain death upon foes.</t>
  </si>
  <si>
    <t>Moa (oiseau éteint de Nouvelle Zélande)</t>
  </si>
  <si>
    <t>Anathème</t>
  </si>
  <si>
    <t>109</t>
  </si>
  <si>
    <t>Heron</t>
  </si>
  <si>
    <t>Exerquror (du latin exequor : suivre jusqu'au bout)</t>
  </si>
  <si>
    <t>082</t>
  </si>
  <si>
    <t xml:space="preserve">Special Ability: 5% bonus to Medium Hybrid Turret damage per level and 5% less penalty to max capacitor for MicroWarpdrive usage per level. </t>
  </si>
  <si>
    <t>Pousseur / Obligeur</t>
  </si>
  <si>
    <t>161</t>
  </si>
  <si>
    <t>Bustard</t>
  </si>
  <si>
    <t>Casseur ~</t>
  </si>
  <si>
    <t>JJ-74</t>
  </si>
  <si>
    <t>162</t>
  </si>
  <si>
    <t>Occator</t>
  </si>
  <si>
    <t>Iteron mk II</t>
  </si>
  <si>
    <t>Velocity</t>
  </si>
  <si>
    <t>Mass</t>
  </si>
  <si>
    <t>Special Ability: 5% bonus to Large Hybrid Turret damage and 7.5% bonus to Large Hybrid Turret tracking speed per level.</t>
  </si>
  <si>
    <t>Hull Class</t>
  </si>
  <si>
    <t>Role</t>
  </si>
  <si>
    <t>Race</t>
  </si>
  <si>
    <t>Name</t>
  </si>
  <si>
    <t>Crow</t>
  </si>
  <si>
    <t>Muninn</t>
  </si>
  <si>
    <t>Built on the shoulders of the sturdy Moa and improving on its durability and range, the Eagle is the next generation in Caldari gunboats. Able to fire accurately and do tremendous damage at ranges considered extreme by any cruiser pilot, this powerhouse will be the bane of anyone careless enough to think himself out of its range. Developer: Ishukone. Caldari starship design is showing a growing trend towards armaments effective at high ranges, and in this arena, as in others, Ishukone do not let themselves get left behind; the Eagle was intended by them as a counter to the fearsome long-range capabilities of Lai Dai's Cerberus ship.</t>
  </si>
  <si>
    <t>Aigle</t>
  </si>
  <si>
    <t>Battlecruiser Skill Bonus: 10% increase to drone hitpoints and damage dealt by drones, and 7.5% increase to armor repair amount per level. 99% reduction in the CPU need of Warfare Link modules.</t>
  </si>
  <si>
    <t>087</t>
  </si>
  <si>
    <t>Gold Magnate</t>
  </si>
  <si>
    <t>2m</t>
  </si>
  <si>
    <t>3m</t>
  </si>
  <si>
    <t>Special Ability: 5% bonus to Medium Projectile Turret firing speed and 10% bonus to Medium Projectile Turret tracking speed per level.</t>
  </si>
  <si>
    <t>[Prod.xls]Prod II'!G21</t>
  </si>
  <si>
    <t>Gallente Frigate Skill Bonus: 50% Small Hybrid Turret damage.Interceptor Skill Bonus: 15% reduction in MicroWarpdrive signature radius penalty and 7.5% Small Hybrid Turret tracking speed per level. Role bonus: 80% reduction in Propulsion Jamming systems activation cost.</t>
  </si>
  <si>
    <t>Minmatar Frigate Skill Bonus: 50% bonus to Small Projectile Turret Damage. Interceptors Skill Bonus: 15% reduction in MicroWarpdrive signature radius penalty and 7.5% bonus to Small Projectile Turret Tracking Speed per level. Role bonus: 80% reduction in Propulsion Jamming systems activation cost.</t>
  </si>
  <si>
    <t>A recent ship from Viziam. Based on a old slave transport design</t>
  </si>
  <si>
    <t>Sceau</t>
  </si>
  <si>
    <t>170</t>
  </si>
  <si>
    <t>Badger</t>
  </si>
  <si>
    <t>Caracal</t>
  </si>
  <si>
    <t>The Caracal is a powerful vessel that specializes in missile deployment. It has excellent shield defenses, but poor armor plating. Its missile arsenal, when fully stocked, is capable of making a piece-meal of almost anyone.</t>
  </si>
  <si>
    <t>Caracal (félin africain)</t>
  </si>
  <si>
    <t>078</t>
  </si>
  <si>
    <t xml:space="preserve">Special Ability: 5% bonus to cargo capacity and 20% bonus to mining laser yield per level. -60% mining laser capacitor use </t>
  </si>
  <si>
    <t>Shuttle</t>
  </si>
  <si>
    <t>Amarr Freighter Skill Bonus: 5% bonus to cargo hold capacity and 5% bonus to agility per level. Jump Freighters Skill Bonus: 10% bonus to shield, armor and hull hitpoints and 10% reduction in jump fuel need per level</t>
  </si>
  <si>
    <t>Effectively combining the trapping power of interdictors with the defensive capabilities of heavy assault ships, the heavy interdictor is an invaluable addition to any skirmish force, offensive or defensive. Heavy interdictors are the only ships able to use the warp disruption field generator, a module which creates a warp disruption field that moves with the origin ship wherever it goes.  Unlike most Gallente ship manufacturers, Roden Shipyards tend to favor missiles over drones and their ships generally possess stronger armor. Their electronics capacity, however, tends to be weaker than ships from their competitors.</t>
  </si>
  <si>
    <t>Effectively combining the trapping power of interdictors with the defensive capabilities of heavy assault ships, the heavy interdictor is an invaluable addition to any skirmish force, offensive or defensive. Heavy interdictors are the only ships able to use the warp disruption field generator, a module which creates a warp disruption field that moves with the origin ship wherever it goes. Core Complexion’s ships are unusual in that they favor electronics and defense over the “lots of guns” approach traditionally favored by the Minmatar.</t>
  </si>
  <si>
    <t>Noticing the alarming increase in Minmatar frigate fleets, the Royal Navy made its plans for the Coercer, a vessel designed specifically to seek and destroy the droves of fast-moving frigate rebels</t>
  </si>
  <si>
    <t>Imposeur</t>
  </si>
  <si>
    <t>093</t>
  </si>
  <si>
    <t xml:space="preserve">Destroyer Skill Bonus: 10% bonus to Small Hybrid Turret tracking speed and 10% bonus to Small Hybrid Turret optimal range per level. Penalty: -25% rate of fire for all turrets. Bonus: 50% bonus to optimal range for small hybrid turrets </t>
  </si>
  <si>
    <t>Drake</t>
  </si>
  <si>
    <t>Ther</t>
  </si>
  <si>
    <t>Amarr Battleship Skill Bonus: 25% bonus to capacitor capacity and 50% bonus to the velocity factor of stasis webifiers. Marauder Skill Bonus: 7,5% bonus to repair amount of armor repair systems and 5% bonus to large energy turret damage per level. Role Bonus: 100% bonus to large energy weapon damage, 100% bonus to range and velocity of tractor beams.</t>
  </si>
  <si>
    <t>Gallente Battleship Skill Bonus: 25% bonus to large hybrid weapon damage and 50% bonus to the velocity factor of stasis webifiers. Marauder Skill Bonus: 7.5% bonus to repair amount of armor repair systems and 7,5% bonus to large hybrid weapon tracking per level. Role Bonus: 100% bonus to large hybrid weapon damage, 100% bonus to range and velocity of tractor beams.</t>
  </si>
  <si>
    <t>[Prod.xls]Prod'!G87</t>
  </si>
  <si>
    <t>[Prod.xls]Prod'!G88</t>
  </si>
  <si>
    <t>Destroyer Skill Bonus: 50% bonus to Small Hybrid Turret falloff and 50% bonus to Small Hybrid Turret tracking speed. Interdictors Skill Bonus: 5% bonus to Rocket and Light Missile thermal damage and 10% bonus to Interdiction Sphere Launcher rate of fire per level. Special Ability: Interdiction Sphere Launchers require 99% less CPU when fitted on this ship.</t>
  </si>
  <si>
    <t>Special Abilities: 10% reduction in Capital Energy Turret capacitor use per level. 5% bonus to Capital Energy Turret rate of fire per level. 99% reduction in CPU need for Siege Module</t>
  </si>
  <si>
    <t>Gallente Frigate Skill Bonus: 25% bonus to Small Hybrid Turret damage. Assault Ships Skill Bonus: 10% bonus to Small Hybrid Turret optimal range and +5m3 Drone Bay capacity per level</t>
  </si>
  <si>
    <t>Amarr Frigate Skill Bonus: 25% bonus to rocket damage. Assault Ships Skill Bonus: 5% bonus to armor resistances and 5% bonus to cap recharge rate per level</t>
  </si>
  <si>
    <r>
      <t>From the formless void’s gaping maw, there springs an entity. Not an entity such as any you can conceive of, nor I; an entity more primordial than the elements themselves, yet constantly coming into existence even as it is destroyed. It is the Child of Chaos, the Pathway to the Next. The darkness shall swallow the land, and in its wake there will follow a storm, as the appetite of nothing expands over the world. From the formless void’s gaping maw, there springs an entity.</t>
    </r>
    <r>
      <rPr>
        <sz val="10"/>
        <color indexed="55"/>
        <rFont val="Arial"/>
        <family val="2"/>
      </rPr>
      <t xml:space="preserve"> Dr. Danella Macaper. </t>
    </r>
    <r>
      <rPr>
        <i/>
        <sz val="10"/>
        <color indexed="55"/>
        <rFont val="Arial"/>
        <family val="2"/>
      </rPr>
      <t>The Seven Events of the Apocalypse.</t>
    </r>
  </si>
  <si>
    <t>Kali</t>
  </si>
  <si>
    <t>Trinity /  Revelation III</t>
  </si>
  <si>
    <t>ation III  11/2007</t>
  </si>
  <si>
    <t>Special Ability: 5% bonus to Medium Hybrid Turret damage per level and 10% bonus to drone hitpoints, damage and mining yield per skill level.</t>
  </si>
  <si>
    <t>Carrier/Command/Super Capital/Support</t>
  </si>
  <si>
    <t>The Omen is a stereotypical example of the Amarrian School of thinking when it comes to ship design: thick armor and hard hitting lasers. Advancements in heat dissipation allow the Omen to fire its lasers faster than other ships without this technology.</t>
  </si>
  <si>
    <t>Présage</t>
  </si>
  <si>
    <t>076</t>
  </si>
  <si>
    <t>[Prod.xls]Prod'!G25</t>
  </si>
  <si>
    <t>Sentinelle</t>
  </si>
  <si>
    <t>Hyène</t>
  </si>
  <si>
    <t>Meute</t>
  </si>
  <si>
    <t>108</t>
  </si>
  <si>
    <t>Special Ability: 25% bonus to Medium Hybrid Turret damage. Gallente Cruiser Skill Bonus: 7,5% bonus to Medium Hybrid Turret tracking speed per level Minmatar Cruiser Skill Bonus: 5% Bonus to MicroWarpdrive capacitor penalty by per level.</t>
  </si>
  <si>
    <t>Raven State Issue / Corvus</t>
  </si>
  <si>
    <t>Tempest Tribal Issue / Storm</t>
  </si>
  <si>
    <t>Sacrilège</t>
  </si>
  <si>
    <t>053</t>
  </si>
  <si>
    <t>Zealot</t>
  </si>
  <si>
    <t>Omen</t>
  </si>
  <si>
    <t>Guristas Shuttle</t>
  </si>
  <si>
    <t>41</t>
  </si>
  <si>
    <t>Caldari Shuttle registered to the Guristas organization.</t>
  </si>
  <si>
    <t>Special Ability: 5% bonus to Missile Launcher Rate Of Fire and 10% Missile Velocity per level of skill.</t>
  </si>
  <si>
    <t>Caldari Frigate Skill Bonus: 50% bonus to Small Hybrid Turret optimal range. Assault Ships Skill Bonus: 10% bonus to Small Hybrid Turret optimal range and 5% bonus to Small Hybrid Turret damage per level</t>
  </si>
  <si>
    <t>Caldari Frigate Skill Bonus: 25% bonus to missile kinetic damage bonus. Assault Ships Skill Bonus: 10% bonus to missile velocity and 7,5% bonus to shield boost amount per level</t>
  </si>
  <si>
    <t>Gallente Frigate Skill Bonus: 25% bonus to Small Hybrid Turret damage. Assault Ships Skill Bonus: 10% bonus to Small Hybrid Turret optimal range and 5% bonus to Small Hybrid Turret Tracking Speed per level</t>
  </si>
  <si>
    <t>In the time-honored tradition of pirates everywhere, Korako ‘Rabbit’ Kosakami shamelessly stole the idea of the Scorpion-class battleship and put his own spin on it. The result: the fearsome Rattlesnake, flagship of any large Gurista attack force. There are, of course, also those who claim things were the other way around; that the notorious silence surrounding the Scorpion’s own origins is, in fact, an indication of its having been designed by Kosakami all along.</t>
  </si>
  <si>
    <t>Posant le regard sur son royaume, le seigneur était témoin de la déferlente du mal et du tourbillon de la guerre. Bouillant de rage, il descendit des cieux pour juger l'indigne et sauver le pur. - Les Saintes Ecritures, Révélation 2.12</t>
  </si>
  <si>
    <t>005</t>
  </si>
  <si>
    <t>Leviathan</t>
  </si>
  <si>
    <t>1000 N</t>
  </si>
  <si>
    <t>The Inquisitor is another example of how the Amarr Imperial Navy has modeled their design to counter specific tactics employed by the other empires. The Inquisitor is a fairly standard Amarr ship in most respects, having good defenses and lacking mobility. It is more Caldari-like than most Amarr ships, however, since its arsenal mostly consists of missile bays</t>
  </si>
  <si>
    <t>Inquisiteur</t>
  </si>
  <si>
    <t>123</t>
  </si>
  <si>
    <t>Special Ability: 10% bonus to Small Energy Turret capacitor use and 5% bonus to armor resistances per level.</t>
  </si>
  <si>
    <t>Designed for commando and espionage operation, its main strength is the ability to travel unseen through enemy territory and to avoid unfavorable encounters. Developer: Ishukone. The Buzzard was developed according to the exacting specifications of Admiral Okaseilen Fukashi, head of the Caldari Navy Recon Division, and was the first production level ship specifically built to take full advantage of the cloaking breakthroughs achieved by Project Mirage at Crielere. Caldari Frigate Skill Bonus: 5% bonus to Missile Kinetic Damage and 5% bonus to Missile Launcher rate of fire per level</t>
  </si>
  <si>
    <t>Special Ability: 10% bonus to Small Hybrid Turret falloff and 5% bonus to Small Hybrid Turret damage per skill level.</t>
  </si>
  <si>
    <t>Hybrid Missile</t>
  </si>
  <si>
    <t>Drones Hybrid</t>
  </si>
  <si>
    <t>Minmatar PVP AC Gun ship</t>
  </si>
  <si>
    <t>Minmatar PVP Sniper</t>
  </si>
  <si>
    <t>Warfare Processor</t>
  </si>
  <si>
    <t>Emergent Locus Analyzer</t>
  </si>
  <si>
    <t>Supplemental Coolant Injector</t>
  </si>
  <si>
    <t>Covert Reconfiguration</t>
  </si>
  <si>
    <t>Interdiction Nullifier</t>
  </si>
  <si>
    <t>Responding to voices stating that the Stabber needed an upgrade to be viable as a fleet vessel of military standards, the Republic Fleet commissioned the creation of the Fleet Issue Stabber; a slower, hardier version of the original that packs quite a bit more firepower. Being as new as it is on the battlefield, the Fleet Issue Stabber hasn't seen many large engagements yet, but its engineers as well as Fleet command are very optimistic about its performance.</t>
  </si>
  <si>
    <t>Moissonneur</t>
  </si>
  <si>
    <t>151</t>
  </si>
  <si>
    <t>Shuttle - Amarr</t>
  </si>
  <si>
    <t>152</t>
  </si>
  <si>
    <t>Shuttle - Caldari</t>
  </si>
  <si>
    <t>57 VS</t>
  </si>
  <si>
    <t>153</t>
  </si>
  <si>
    <t>Shuttle - Gallente</t>
  </si>
  <si>
    <t>Designed for commando and espionage operation, its main strength is the ability to travel unseen through enemy territory and to avoid unfavorable encounters. Developer: Khanid Innovation. Khanid Innovations was quick to take advantage of the disintegration of the Crielere Project. Through shrewd diplomatic and financial maneuvering they were able to aquire a working Buzzard prototype as well as several of the former top scientists of Project Mirage to work on adapting its innovations to Khanid ship technology.</t>
  </si>
  <si>
    <t>Mining</t>
  </si>
  <si>
    <t>001</t>
  </si>
  <si>
    <t>Special Ability: 10% bonus to Explosive missile damage and 5% bonus to EM, Kinetic and Thermal missile damage per level.</t>
  </si>
  <si>
    <t>Minmatar Cruiser Skill Bonus: 25% bonus to Medium Projectile Turret rate of fire and 25% bonus to max velocity. Heavy Assault Ship Skill Bonus: 10% bonus to Medium Projectile Turret falloff range and 5% bonus to Medium Projectile Turret damage per level</t>
  </si>
  <si>
    <t>Special Ability: 5% bonus to Large Projectile Turret firing speed and Large Projectile Turret damage per level.</t>
  </si>
  <si>
    <t>No cruiser currently in existence can match the superiority of the Cerberus's onboard missile system. With a well-trained pilot jacked in, this fanged horror is capable of unleashing a hail of missiles to send even the most seasoned armor tankers running for cover. Developer: Lai Dai. Moving away from their traditionally balanced all-round designs, Lai Dai have created a very specialized - and dangerous - missile boat in the Cerberus. Many have speculated that due to recent friction between Caldari megacorporations, LD may be looking to beef up their own police force with these missile-spewing monstrosities.</t>
  </si>
  <si>
    <t>055</t>
  </si>
  <si>
    <t>Eagle</t>
  </si>
  <si>
    <t>Caldari Cruiser Skill Bonus: 50% bonus to Medium Hybrid Turret optimal range and 25% bonus to shield boosting. Heavy Assault Ship Skill Bonus: 10% bonus to Medium Hybrid Turret optimal range and 5% bonus to Medium Hybrid Turret damage per level</t>
  </si>
  <si>
    <t>Special Ability: 5% ship velocity and Target Painter effectiveness per skill level.</t>
  </si>
  <si>
    <t>047</t>
  </si>
  <si>
    <t>Geared toward versatility and prolonged deployment in hostile environments, Marauders represent the cutting edge in today’s warship technology. While especially effective at support suppression and wreckage salvaging, they possess comparatively weak sensor strength and may find themselves at increased risk of sensor jamming. Nevertheless, these thick-skinned, hard-hitting monsters are the perfect ships to take on long trips behind enemy lines. Duvolle Labs manufactures sturdy ships with a good mix of offensive and defensive capabilities. Since the company is one of New Eden’s foremost manufacturers of particle blasters, its ships tend to favor turrets and thus have somewhat higher power output than normal.</t>
  </si>
  <si>
    <t>Curse</t>
  </si>
  <si>
    <t>Pilgrim</t>
  </si>
  <si>
    <t>Minmatar Freighter Skill Bonus: 5% bonus to cargo hold capacity and 5% bonus to maximum velocity per level</t>
  </si>
  <si>
    <t>While not endowed with as much pure firepower as other ships of its category, the Ishtar is more than able to hold its own by virtue of its tremendous capacity for drones and its unique hard-coded drone-control subroutines. Developer: CreoDron. Touted as "the Ishkur's big brother," the Ishtar design is the furthest CreoDron have ever gone towards creating a completely dedicated drone carrier. At various stages in its development process plans were made to strengthen the vessel in other areas, but ultimately the CreoDron engineers' fascination with pushing the drone carrier envelope overrode all other concerns.</t>
  </si>
  <si>
    <t>Ishtar (babylone : déesse babylonienne de l'amour et de la guerre)</t>
  </si>
  <si>
    <t>058</t>
  </si>
  <si>
    <t>[Prod.xls]Prod II'!G37</t>
  </si>
  <si>
    <t>[Prod.xls]Prod II'!G39</t>
  </si>
  <si>
    <t>[Prod.xls]Prod II'!G40</t>
  </si>
  <si>
    <t>[Prod.xls]Prod II'!G41</t>
  </si>
  <si>
    <t>The Chimera’s design is based upon the Kairiola, a vessel holding tremendous historical significance for the Caldari. Initially a water freighter, the Kairiola was refitted in the days of the Gallente-Caldari war to act as a fighter carrier during the orbital bombardment of Caldari Prime. It was most famously flown by the legendary Admiral Yakia Tovil-Toba directly into Gallente Prime’s atmosphere, where it fragmented and struck several key locations on the planet. This event, where the good Admiral gave his life, marked the culmination of a week’s concentrated campaign of distraction which enabled the Caldari to evacuate their people from their besieged home planet. Where the Chimera roams, the Caldari remember.</t>
  </si>
  <si>
    <t>The Retriever is the medium-sized version of a ship class designed by the ORE Syndicate to facilitate the advancement of the mining profession to a new level. Mining barges are equipped with electronic subsystems specifically designed to accommodate Strip Mining modules. Coupled with a sizable cargo hold and a goodly drone bay, this makes them extremely efficient ore extraction vessels.</t>
  </si>
  <si>
    <t>Accelerated Ejection Bay</t>
  </si>
  <si>
    <t>Basing their design on the Federation Navy’s much-vaunted Megathron, the Guardian Angels’ engineers set out to create a battleship that would instill fear in anyone fool enough to square off against the Cartel or its Serpentis protectorate. Based on the reputation this ship has engendered, they seem to have succeeded admirably</t>
  </si>
  <si>
    <t xml:space="preserve">Battlecruiser Skill Bonus: 10% bonus to Medium Hybrid Turret optimal range and 5% bonus to all Shield resistances per level. 99% reduction in the CPU need of Warfare Link modules. </t>
  </si>
  <si>
    <t>Mounts</t>
  </si>
  <si>
    <t>Hi</t>
  </si>
  <si>
    <t>L</t>
  </si>
  <si>
    <t>M</t>
  </si>
  <si>
    <t>T</t>
  </si>
  <si>
    <t>ST</t>
  </si>
  <si>
    <t>AR</t>
  </si>
  <si>
    <t>Lachesis</t>
  </si>
  <si>
    <t xml:space="preserve">There is continuing speculation as to how exactly the Thukkers manage to move their vast caravans throughout space relatively undetected, but their expertise with jump drive technology became glaringly apparent when they created the Nomad. Now seeing widespread service with roving Thukker outrider detachments, the Nomad is rapidly becoming an essential part of Thukker life away from the great caravans. Thukkers spend their entire lives forever wandering the infinite in their vast caravans. As such their technology is based as much upon necessity as their ingenious ability to tinker. Their ship designs therefore tend to based upon the standard empire templates but extensively modified for the Thukkers unique needs. </t>
  </si>
  <si>
    <t>Battlecruiser Skill Bonus: 25% bonus to Medium Hybrid Turret damage and 37.5% bonus to Armor Repairer effectiveness. Command Ships Skill Bonus: 5% bonus to Medium Hybrid Turret damage and 10% bonus to Medium Hybrid turret falloff per level. Role Bonus: 99% reduction in Warfare Link module CPU need</t>
  </si>
  <si>
    <t>Gallente Shuttle</t>
  </si>
  <si>
    <t>Interbus</t>
  </si>
  <si>
    <t>The Crucifier was first designed as an explorer/scout, but the current version employs the electronic equipment originally intended for scientific studies for more offensive purposes. The Crucifier's electronic and computer systems take up a large portion of the internal space leaving limited room for cargo or traditional weaponry</t>
  </si>
  <si>
    <t>0</t>
  </si>
  <si>
    <t>Crucifieur</t>
  </si>
  <si>
    <t>121</t>
  </si>
  <si>
    <t>Special Ability: 10% bonus to Small Energy Turret capacitor use and 5% Small Energy Turret damage per skill level.</t>
  </si>
  <si>
    <t>Interceptors utilize a combination of advanced alloys and electronics to reduce their effective signature radius. This, along with superior maneuverability and speed, makes them very hard to target and track, particularly for high caliber turrets. Developer: Duvolle Labs. Duvolle labs manufactures sturdy ships with a good mix of offensive and defensive capacities. Since its foremost manufacturer of Particle Blasters its ships tend to favor turrets and thus have somewhat higher power output than normal.</t>
  </si>
  <si>
    <t>Taranis (celte : dieu du tonnerre)</t>
  </si>
  <si>
    <t>118</t>
  </si>
  <si>
    <t>Claw</t>
  </si>
  <si>
    <t>Slasher</t>
  </si>
  <si>
    <t>[Prod.xls]Prod'!G33</t>
  </si>
  <si>
    <t>[Prod.xls]Prod'!G34</t>
  </si>
  <si>
    <t>[Prod.xls]Prod'!G35</t>
  </si>
  <si>
    <t>[Prod.xls]Prod'!G36</t>
  </si>
  <si>
    <t>[Prod.xls]Prod'!G37</t>
  </si>
  <si>
    <t>[Prod.xls]Prod'!G38</t>
  </si>
  <si>
    <t>Targeting</t>
  </si>
  <si>
    <t>Vulture</t>
  </si>
  <si>
    <t>Capital Industrial</t>
  </si>
  <si>
    <t>Rorqual</t>
  </si>
  <si>
    <t>Minmatar Titan Skill Bonuses : 5% bonus to Capital Projectile Turret rate of fire per level. 5% bonus to Capital Projectile Turret damage per level. 7.5% reduction in gang members’ signature radius per level. 99% reduction in CPU need for Jump Portal Generator I. 99% reduction in CPU need for Firestorm. 99% reduction in CPU need for Clone Vat Bay. 99% reduction in CPU need for Warfare Link modules. Can fit 1 additional Warfare Link module per level.</t>
  </si>
  <si>
    <t>Fenrir (germanique : Loup géant)</t>
  </si>
  <si>
    <t>Long struggling with a reputation for being the ugly duckling of the Caldari ship repertoire, the Hookbill recently got a new lease on life, being upgraded from a routine patrol vessel into a fleet-standard frigate. With the advancements brought on by the upgrade, the time is nigh for this little slugger to prove itself on battlefields throughout Caldari space and beyond.</t>
  </si>
  <si>
    <t>Croisé</t>
  </si>
  <si>
    <t>Built to represent the last word in electronic warfare, combat recon ships have onboard facilities designed to maximize the effectiveness of electronic countermeasure modules of all kinds. Filling a role next to their class counterpart, the heavy assault ship, combat recon ships are the state of the art when it comes to anti-support support. They are also devastating adversaries in smaller skirmishes, possessing strong defensive capabilities in addition to their electronic superiority. Developer: Khanid Innovation. The Khanid Kingdom’s ships possess the most advanced shield generators available outside Caldari space, as well as fairly robust electronics systems. Their armor and hull, however, are rather weak and hard to modify.</t>
  </si>
  <si>
    <t>Malédiction</t>
  </si>
  <si>
    <t>065</t>
  </si>
  <si>
    <t xml:space="preserve">Gallente Cruiser Skill Bonus: 25% bonus to Medium Hybrid Turret damage and 25% bonus to Remote Sensor Dampener effectiveness. Recon Ships Skill Bonus: 20% bonus to warp disruptor range and 5% bonus to Heavy Missile Launcher and Assault Missile Launcher rate of fire per level </t>
  </si>
  <si>
    <t>Nanobot Injector</t>
  </si>
  <si>
    <t>Dissolution Sequencer</t>
  </si>
  <si>
    <t>Energy Parasitic Complex</t>
  </si>
  <si>
    <t>Tactical Targeting Network</t>
  </si>
  <si>
    <t>Augmented Capacitor Reservoir</t>
  </si>
  <si>
    <t>Capacitor Regeneration Matrix</t>
  </si>
  <si>
    <t>Power Core Multiplier</t>
  </si>
  <si>
    <t>Liquid Crystal Magnifiers</t>
  </si>
  <si>
    <t>Chassis Optimization</t>
  </si>
  <si>
    <t>Fuel Catalyst</t>
  </si>
  <si>
    <t>Wake Limiter</t>
  </si>
  <si>
    <t>The Impairor-class frigate has been mass-produced by the Amarr Empire for decades. It is the most common spacevessel sighted within the Amarrian boundaries, and is used both as a basic trade vessel and as a small-scale slave transport</t>
  </si>
  <si>
    <t>Détériorateur</t>
  </si>
  <si>
    <t>148</t>
  </si>
  <si>
    <t>Ibis</t>
  </si>
  <si>
    <t>Special Ability: 10% bonus hybrid turret optimal range per skill level.</t>
  </si>
  <si>
    <t>Hybrid Propulsion Armature</t>
  </si>
  <si>
    <t>Localized Injector</t>
  </si>
  <si>
    <t>Subsystem Skill Bonus : 15% reduction in afterburner and microwarpdrive capacitor consumption per level</t>
  </si>
  <si>
    <t>Subsystem Skill Bonus : 5% reduction in microwarpdrive signature radius penalty per level.</t>
  </si>
  <si>
    <t>Subsystem Skill Bonus : 10% bonus to armor repairer effectiveness per level</t>
  </si>
  <si>
    <t>The Obelisk was designed by the Federation in response to the Caldari State's Charon freighter. Possessing similar characteristics but placing a greater emphasis on resilience, this massive juggernaut represents the latest, and arguably finest, step in Gallente transport technology</t>
  </si>
  <si>
    <t>Obélisque</t>
  </si>
  <si>
    <t>159</t>
  </si>
  <si>
    <t>Fenrir</t>
  </si>
  <si>
    <t>Minmatar Fighter Drone</t>
  </si>
  <si>
    <t>147</t>
  </si>
  <si>
    <t>122</t>
  </si>
  <si>
    <t>Minmatar Industrial Skill Bonus: 25% cargo capacity and 25% velocity per level. Transport Ships Skill Bonus: 5% shield booster boost amount and -10% bonus to cpu need of covert ops cloaks per level. Role Bonus: can fit covert ops cloaks.</t>
  </si>
  <si>
    <t>As the makers of the Charon, the Caldari State are generally credited with pioneering the freighter class. Recognizing the need for a massive transport vehicle as deep space installations constantly increase in number, they set about making the ultimate in efficient mass transport - and were soon followed by the other empires. Regardless, the Charon still stands out as the benchmark by which the other freighters were measured. Its massive size and titanic cargo hold are rivalled by none</t>
  </si>
  <si>
    <t>Charon (grec : passeur des âmes)</t>
  </si>
  <si>
    <t>158</t>
  </si>
  <si>
    <t>Obelisk</t>
  </si>
  <si>
    <t>Special Ability: 50% reduction in Small Energy Turret capacitor use. Amarr Frigate Skill Bonus: 10% bonus to Energy Vampire and Energy Neutralizer drain amount per level. Minmatar Frigate Skill Bonus: 10% bonus to Stasis Webifier activation range per level.</t>
  </si>
  <si>
    <t>Huginn (scandinavie : corbeau messager d'Odin)</t>
  </si>
  <si>
    <t>Caldari Freighter Skill Bonus: 5% bonus to cargo hold capacity and 5% bonus to maximum velocity per level</t>
  </si>
  <si>
    <t>Caldari Battleship Skill Bonus: 50% bonus to cruise missile and torpedo velocity and 25% bonus to cruise missile and torpedo explosion velocity per level. Marauders Skill Bonus: 7,5% bonus to shield boost amount and 7,5% bonus to effectiveness of target painters per level. Role Bonus: 100% bonus to cruise missile and torpedo damage, 100% bonus to range and velocity of tractor beams.</t>
  </si>
  <si>
    <t>Caldari Industrial Skill Bonus: 25% cargo capacity and 25% velocity. Transport Ships Skill Bonus: 5% shield booster boost amount and 5% bonus to shield HP per level. Role Bonus: +2 warp strength.</t>
  </si>
  <si>
    <t>Amarr</t>
  </si>
  <si>
    <t>CPU</t>
  </si>
  <si>
    <t>Power</t>
  </si>
  <si>
    <t>[Prod.xls]Prod II'!G77</t>
  </si>
  <si>
    <t>[Prod.xls]Prod II'!G78</t>
  </si>
  <si>
    <t>The Griffin is much used by the Caldari Navy as a support vessel in combat squadrons, using its impressive array of electronic gadgetry to disrupt the operation of target ships, making them easy prey for traditional combat vessels</t>
  </si>
  <si>
    <r>
      <t xml:space="preserve">At the end of days when they descend, Watch for the coming of the Ark, For within it, Salvation is carried. </t>
    </r>
    <r>
      <rPr>
        <i/>
        <sz val="10"/>
        <color indexed="55"/>
        <rFont val="Arial"/>
        <family val="2"/>
      </rPr>
      <t>-The Scriptures, Apocalypse Verses 32:6</t>
    </r>
    <r>
      <rPr>
        <sz val="10"/>
        <color indexed="55"/>
        <rFont val="Arial"/>
        <family val="2"/>
      </rPr>
      <t>. Carthum ships are the very embodiment of the Amarrian warfare philosophy. Possessing sturdy armor and advanced weapon system they provide a nice mix of offence and defence. On the other hand, their electronics and shield systems tend to be rather limited.</t>
    </r>
  </si>
  <si>
    <t>[Prod.xls]Prod'!G118</t>
  </si>
  <si>
    <t>[Prod.xls]Prod'!G119</t>
  </si>
  <si>
    <t>042</t>
  </si>
  <si>
    <t>Claymore</t>
  </si>
  <si>
    <t>Cyclone</t>
  </si>
  <si>
    <t xml:space="preserve">Force recon ships are the cruiser-class equivalent of covert ops frigates. While not as resilient as combat recon ships, they are nonetheless able to do their job as reconaissance vessels very effectively, due in no small part to their ability to interface with covert ops cloaking devices and set up cynosural fields for incoming capital ships. Developer: Core Complexion. Core Complexion's ships are unusual in that they favor electronics and defense over the "lots of guns" approach traditionally favored by the Minmatar. </t>
  </si>
  <si>
    <t>The Zealot is built almost exclusively as a laser platform, designed to wreak as much havoc as its energy beams can be made to. As a vanguard vessel, its thick armor and dazzling destructive power make it capable of cutting through enemy fleets with striking ease. Zealots are currently being mass-produced by Viziam for the Amarr Navy. Developer: Viziam. As if in response to Khanid Innovation's shield-intensive designs, Viziam have for their starship design debut opted to neglect shield systems in favor of the strongest armor plating in cruiser history. While not as multi-faceted as the Khanids' Sacrilege, the Zealot packs a pure punch few will forget.</t>
  </si>
  <si>
    <t>Fanatique</t>
  </si>
  <si>
    <t>054</t>
  </si>
  <si>
    <t>Cerberus</t>
  </si>
  <si>
    <t>Special ability: 10% bonus to Medium Energy Turret Capacitor Usage and 10% bonus to Armor Hitpoints per level.</t>
  </si>
  <si>
    <t xml:space="preserve">Caldari Frigate Skill Bonus: 25% bonus to Missile Kinetic Damage and 25% bonus to Missile Launcher rate of fire per level. Covert Ops Skill Bonus: -98% to -100% reduction in Cloaking Device CPU use per level and 10% reduction to duration/activation time of modules requiring Astrometrics per level </t>
  </si>
  <si>
    <t xml:space="preserve">Gallente Frigate Skill Bonus: 25% bonus to Small Hybrid Turret damage and 50% bonus to Scout Drone Thermal damage per level. Covert Ops Skill Bonus: -98% to -100% reduction in Cloaking Device CPU use per level and 10% reduction to duration/activation time of modules requiring Astrometrics per level </t>
  </si>
  <si>
    <t>Iteron mark II</t>
  </si>
  <si>
    <t>Eris (grec : déesse de la discorde)</t>
  </si>
  <si>
    <t>091</t>
  </si>
  <si>
    <t>Sabre</t>
  </si>
  <si>
    <t>056</t>
  </si>
  <si>
    <t>Deimos</t>
  </si>
  <si>
    <t>098</t>
  </si>
  <si>
    <t>Harpy</t>
  </si>
  <si>
    <t>[Prod.xls]Prod II'!G44</t>
  </si>
  <si>
    <t>[Prod.xls]Prod II'!G46</t>
  </si>
  <si>
    <t>[Prod.xls]Prod II'!G47</t>
  </si>
  <si>
    <t>[Prod.xls]Prod II'!G48</t>
  </si>
  <si>
    <t>[Prod.xls]Prod II'!G50</t>
  </si>
  <si>
    <t>[Prod.xls]Prod II'!G52</t>
  </si>
  <si>
    <t>[Prod.xls]Prod II'!G53</t>
  </si>
  <si>
    <t>Interceptors utilize a combination of advanced alloys and electronics to reduce their effective signature radius. This, along with superior maneuverability and speed, makes them very hard to target and track, particularly for high caliber turrets. Developer: Lai Dai. Lai Dai ships favor a balanced mix of ship systems, making them very versatile but also less powerful when it comes to specific tactics.</t>
  </si>
  <si>
    <t>116</t>
  </si>
  <si>
    <t>Ares</t>
  </si>
  <si>
    <t>Caldari</t>
  </si>
  <si>
    <t>The Nyx is a gigantic homage to a figure much loved in Gallente society. The ship’s design is based on the scepter of Doule dos Rouvenor III, the king who, during his peaceful 36-year reign, was credited with laying the foundation for the technologically and socially progressive ideologies which have pervaded Gallente thought in the millennia since. Indeed, the Nyx itself is emblematic of the Gallenteans’ love for progress; packed to the ergonomic brim with the latest in cutting-edge advancements, it is a proud reminder of the things that make the Federation what it is.</t>
  </si>
  <si>
    <t>013</t>
  </si>
  <si>
    <t>Thanatos</t>
  </si>
  <si>
    <t>Special Ability: 25% bonus to Small Projectile Turret damage. Minmatar Frigate Skill Bonus: 5% bonus to Small Projectile Turret damage per level. Gallente Frigate Skill Bonus: 7,5% bonus to Small Projectile Turret tracking speed per level</t>
  </si>
  <si>
    <t>III</t>
  </si>
  <si>
    <t>APO</t>
  </si>
  <si>
    <t>03/2009</t>
  </si>
  <si>
    <t>Legion</t>
  </si>
  <si>
    <t>Tengu</t>
  </si>
  <si>
    <t>Proteus</t>
  </si>
  <si>
    <t>Loki</t>
  </si>
  <si>
    <t>Strategic Cruiser</t>
  </si>
  <si>
    <t>Strategic Cruiser Hull</t>
  </si>
  <si>
    <t>Apocrypha</t>
  </si>
  <si>
    <t>[Prod.xls]Prod II'!G23</t>
  </si>
  <si>
    <t>[Prod.xls]Prod II'!G24</t>
  </si>
  <si>
    <t>[Prod.xls]Prod II'!G25</t>
  </si>
  <si>
    <t>[Prod.xls]Prod II'!G26</t>
  </si>
  <si>
    <t>[Prod.xls]Prod II'!G27</t>
  </si>
  <si>
    <t>mass/agi</t>
  </si>
  <si>
    <t>Amarr Fighter Drone</t>
  </si>
  <si>
    <t>Templier</t>
  </si>
  <si>
    <t>144</t>
  </si>
  <si>
    <t>Dragonfly</t>
  </si>
  <si>
    <t>Caldari Fighter Drone</t>
  </si>
  <si>
    <t>145</t>
  </si>
  <si>
    <t>Firebolg</t>
  </si>
  <si>
    <t>Gallente Fighter Drone</t>
  </si>
  <si>
    <t>146</t>
  </si>
  <si>
    <t>Einherji</t>
  </si>
  <si>
    <t>Force recon ships are the cruiser-class equivalent of covert ops frigates. While not as resilient as combat recon ships, they are nonetheless able to do their job as reconaissance vessels very effectively, due in no small part to their ability to interface with covert ops cloaking devices and set up cynosural fields for incoming capital ships. Developer: Carthum Conglomerate. Carthum ships are the very embodiment of the Amarrian warfare philosophy. Possessing sturdy armor and advanced weapon systems, they provide a nice mix of offense and defense. On the other hand, their electronic and shield systems tend to be rather limited.</t>
  </si>
  <si>
    <t>Pélerin</t>
  </si>
  <si>
    <t>066</t>
  </si>
  <si>
    <t>Falcon</t>
  </si>
  <si>
    <t>Blackbird</t>
  </si>
  <si>
    <t>Sigil</t>
  </si>
  <si>
    <t>Goru's Shuttle</t>
  </si>
  <si>
    <t>Caldari Shuttle</t>
  </si>
  <si>
    <t>Goru Nikainen's Shuttle.</t>
  </si>
  <si>
    <t>Typhoon</t>
  </si>
  <si>
    <t>Special Ability: 10% bonus to Large Energy Turret capacitor use and 5% maximum Capacitor Capacity per level.</t>
  </si>
  <si>
    <t>106</t>
  </si>
  <si>
    <t>Nemesis</t>
  </si>
  <si>
    <t>The Bestower has for decades been used by the Empire as a slave transport, shipping human labor between cultivated planets in Imperial space. As a proof to how reliable this class has been through the years, the Emperor himself has used an upgraded version of this very same class as transports for the Imperial Treasury. The Bestower has very thick armor and large cargo space</t>
  </si>
  <si>
    <t>Octroyeur</t>
  </si>
  <si>
    <t>169</t>
  </si>
  <si>
    <t>[Prod.xls]Prod'!G16</t>
  </si>
  <si>
    <t>Special Ability: 5% bonus to cargo capacity and 20% bonus to mining laser yield per skill level. -60% mining laser capacitor use</t>
  </si>
  <si>
    <t>Purifieur</t>
  </si>
  <si>
    <t>105</t>
  </si>
  <si>
    <t>Kestrel</t>
  </si>
  <si>
    <t>EqT</t>
  </si>
  <si>
    <t>EqHD</t>
  </si>
  <si>
    <t>EVE</t>
  </si>
  <si>
    <t>CAS</t>
  </si>
  <si>
    <t>EX II</t>
  </si>
  <si>
    <t xml:space="preserve">Special Ability: 5% bonus kinetic missile damage per skill level 5% reduction to duration/activation time of modules requiring Astrometrics per level </t>
  </si>
  <si>
    <t>Special Ability: 50% bonus to Cruise Missile and Torpedo velocity. Caldari Battleship Skill Bonus: 5% bonus to Cruise Missile and Torpedo rate of fire per level. Gallente Battleship Skill Bonus: 5% bonus to Large Hybrid Turret optimal range per level.</t>
  </si>
  <si>
    <t>Korako 'The Rabbit' Kosakami, Gurista leader, has a particular love for stealing the Caldari's ship designs, souping them up, and turning them on their creators. With the Worm, he has taken the Merlin design so familiar to Caldari pilots and turned it into a defensive powerhouse with increased electronic warfare capabilities</t>
  </si>
  <si>
    <t>Renard (japonais)</t>
  </si>
  <si>
    <t>[Prod.xls]Prod'!G108</t>
  </si>
  <si>
    <t>[Prod.xls]Prod'!G109</t>
  </si>
  <si>
    <t>[Prod.xls]Prod'!G110</t>
  </si>
  <si>
    <t>Blood Raider</t>
  </si>
  <si>
    <t>Serpentis</t>
  </si>
  <si>
    <t>S</t>
  </si>
  <si>
    <t>35</t>
  </si>
  <si>
    <t>36</t>
  </si>
  <si>
    <t>37</t>
  </si>
  <si>
    <t>38</t>
  </si>
  <si>
    <t>39</t>
  </si>
  <si>
    <t>The Dramiel is the most long-standing and often-used ship design in the Angel Cartel's vast repertoire of vessels. A frigate workhorse if ever there was one, this sharp-tusked, dangerous beauty can sting unimaginably hard if one is not prepared for its assault.</t>
  </si>
  <si>
    <t>Battlecruiser Skill Bonus: 25% bonus to assault missile, heavy assault missile and heavy missile launcher rate of fire and 25% bonus to all shield resistances per level. Command Ships Skill Bonus: 5% bonus to heavy missile Kinetic damage and 5% bonus to heavy missile explosion velocity per level Role Bonus: 99% reduction in Warfare Link module CPU need</t>
  </si>
  <si>
    <t>[Prod.xls]Prod'!G21</t>
  </si>
  <si>
    <t>[Prod.xls]Prod'!G22</t>
  </si>
  <si>
    <t>[Prod.xls]Prod'!G23</t>
  </si>
  <si>
    <t>[Prod.xls]Prod'!G24</t>
  </si>
  <si>
    <t>Interceptors utilize a combination of advanced alloys and electronics to reduce their effective signature radius. This, along with superior maneuverability and speed, makes them very hard to target and track, particularly for high caliber turrets. Developer: Kaalakiota. As befits one of the largest weapons manufacturers in the known world, Kaalakiota's ships are very combat focused. Favoring the traditional Caldari combat strategy, they are designed around a substantial number of weapons systems, especially missile launchers. However, they have rather weak armor and structure, relying more on shields for protection.</t>
  </si>
  <si>
    <t>115</t>
  </si>
  <si>
    <t>Raptor</t>
  </si>
  <si>
    <t>Special Ability: 5% bonus to drone range per skill level. 5% reduction to duration/activation time of modules requiring Astrometrics per level.</t>
  </si>
  <si>
    <t>Effectively combining the trapping power of interdictors with the defensive capabilities of heavy assault ships, the heavy interdictor is an invaluable addition to any skirmish force, offensive or defensive. Heavy interdictors are the only ships able to use the warp disruption field generator, a module which creates a warp disruption field that moves with the origin ship wherever it goes. As befits one of the largest weapons manufacturers in the known world, Kaalakiota’s ships are very combat focused. Favoring the traditional Caldari combat strategy, they are designed around a substantial number of weapons systems, especially missile launchers. However, they have rather weak armor and structure, relying more on shields for protection.</t>
  </si>
  <si>
    <t xml:space="preserve">Amarr Cruiser Skill Bonus: 25% bonus to Tracking Disruptor effectiveness and 50% bonus to drone hit points, damage and mining yield. Recon Ships Skill Bonus: 40% bonus to Energy Vampire and Energy Neutralizer range and 20% bonus to Energy Vampire and Energy Neutralizer transfer amount per level </t>
  </si>
  <si>
    <t>[Prod.xls]Prod II'!G22</t>
  </si>
  <si>
    <t>Interceptors utilize a combination of advanced alloys and electronics to reduce their effective signature radius. This, along with superior maneuverability and speed, makes them very hard to target and track, particularly for high caliber turrets. Developer: Core Complexion. Core Complexion's ships are unusual in that they favor electronics and defense over the "Lots of guns" approach traditionally favored by the Minmatar.</t>
  </si>
  <si>
    <t>Stillet</t>
  </si>
  <si>
    <t>120</t>
  </si>
  <si>
    <t>[Prod.xls]Prod'!G112</t>
  </si>
  <si>
    <t>Nighthawk</t>
  </si>
  <si>
    <t>Ferox</t>
  </si>
  <si>
    <t xml:space="preserve">Destroyer Skill Bonus: 10% bonus to Small Energy Turret tracking speed and -10% reduction in Small Energy Turret Capacitor usage per level. Penalty: -25% rate of fire for all turrets. Bonus: 50% bonus to optimal range for small energy turrets </t>
  </si>
  <si>
    <t xml:space="preserve">Special ability: 10% bonus to armor hitpoints per level. 10% bonus to capacitor need of energy transfer arrays per level. 500% bonus to range of energy transfer arrays. </t>
  </si>
  <si>
    <t>Special Ability: 5% bonus Kinetic Missile Damage per skill level and 10% bonus to Missile Velocity per level.</t>
  </si>
  <si>
    <t>[Prod.xls]Prod II'!G8</t>
  </si>
  <si>
    <t>[Prod.xls]Prod II'!G9</t>
  </si>
  <si>
    <t>[Prod.xls]Prod II'!G10</t>
  </si>
  <si>
    <t>[Prod.xls]Prod'!G46</t>
  </si>
  <si>
    <t>[Prod.xls]Prod'!G47</t>
  </si>
  <si>
    <t>[Prod.xls]Prod'!G48</t>
  </si>
  <si>
    <t>[Prod.xls]Prod'!G49</t>
  </si>
  <si>
    <t>[Prod.xls]Prod'!G50</t>
  </si>
  <si>
    <t>[Prod.xls]Prod'!G51</t>
  </si>
  <si>
    <t>Special Ability: 5% large projectile weapon rate of fire per level and 7.5% shield boost amount per level</t>
  </si>
  <si>
    <t>Class</t>
  </si>
  <si>
    <t>Jump drive Systems</t>
  </si>
  <si>
    <t>Tier</t>
  </si>
  <si>
    <t>Tech</t>
  </si>
  <si>
    <t>Rôle</t>
  </si>
  <si>
    <t>Repackaged</t>
  </si>
  <si>
    <t>17812</t>
  </si>
  <si>
    <t>17924</t>
  </si>
  <si>
    <t>Designed for commando and espionage operation, its main strength is the ability to travel unseen through enemy territory and to avoid unfavorable encounters. Developer: Creodron. The Helios is Creodron's answer to the Ishukone Buzzard. After the fall of Crielere, the once-cordial relations between the Gallente Federation and the Caldari state deteriorated rapidly and, for a while, it seemed as if war might be brewing. It was seen by certain high-ranking officers within the Gallente navy as being of vital importance to be able to match the Caldari's cloaking technology in an effort to maintain the balance of power.</t>
  </si>
  <si>
    <t>Helios (grec : soleil)</t>
  </si>
  <si>
    <t>111</t>
  </si>
  <si>
    <t>Cheetah</t>
  </si>
  <si>
    <t>Vigil</t>
  </si>
  <si>
    <t>Rapière</t>
  </si>
  <si>
    <t>Rôdeur</t>
  </si>
  <si>
    <t>168</t>
  </si>
  <si>
    <t>inférieur à :</t>
  </si>
  <si>
    <t>fabriqué</t>
  </si>
  <si>
    <t>003</t>
  </si>
  <si>
    <t>004</t>
  </si>
  <si>
    <t>Avatar</t>
  </si>
  <si>
    <t>8</t>
  </si>
  <si>
    <t>1000 He</t>
  </si>
  <si>
    <t>Gurista</t>
  </si>
  <si>
    <t>Sansha</t>
  </si>
  <si>
    <t>Angel</t>
  </si>
  <si>
    <t>Deep space transports are designed with the depths of lawless space in mind. Possessing defensive capabilities far in excess of standard industrial ships, they provide great protection for whatever cargo is being transported in their massive holds. They are, however, some of the slowest ships to be found floating through space.</t>
  </si>
  <si>
    <t>In those of the Empire’s regions where naughty children are frightened into submission with tales of the Blood Raiders and their gallery of horrors, the terrible spear of the Ashimmu is known by all as a bringer of things worse than death. This is one of the few things that small children and capsule pilots generally agree upon.</t>
  </si>
  <si>
    <t>Special Ability: 5% bonus to Medium Hybrid Turret damage per level and +1 extra Drone controlled per level.</t>
  </si>
  <si>
    <t>Special Ability: 5% bonus to Large Projectile Turret firing speed and 5% bonus to siege and cruise missile launcher firing speed.</t>
  </si>
  <si>
    <t>11/2008</t>
  </si>
  <si>
    <t xml:space="preserve">The Blackbird is a small high-tech cruiser newly employed by the Caldari Navy. Commonly seen in fleet battles or acting as wingman, it is not intended for head-on slugfests, but rather delicate tactical situations. </t>
  </si>
  <si>
    <t>Merle</t>
  </si>
  <si>
    <t>12 TX</t>
  </si>
  <si>
    <t>077</t>
  </si>
  <si>
    <t xml:space="preserve">Special Ability: 5% bonus Kinetic Missile Damage per skill level and 10% bonus to Missile Velocity per level. </t>
  </si>
  <si>
    <r>
      <t xml:space="preserve">Inspired by a vicious scissor-toothed shark indigenous to old-world Matar, the Hel is widely viewed as a sign of a Republic out for blood. Since the beginning of its development it has remained a project cloaked in secrecy, with precious few people aware of its progress and its capabilities, and its formal unveiling has come as a defiant slap in the face to many who formerly believed the Matari incapable of working at this scale of starship design. Whatever comprises the soil of its roots, though, one thing is clear: from no-frills living quarters to grim, unadorned aesthetic, this ferocious behemoth has been designed for one purpose and one purpose only. ”Imagine a dozen deadly hornets pouring from the devil’s mouth. Now imagine they have autocannons.” </t>
    </r>
    <r>
      <rPr>
        <i/>
        <sz val="10"/>
        <color indexed="55"/>
        <rFont val="Arial"/>
        <family val="2"/>
      </rPr>
      <t>-Unknown Hel designer</t>
    </r>
  </si>
  <si>
    <t>015</t>
  </si>
  <si>
    <t>[Prod.xls]Prod'!G67</t>
  </si>
  <si>
    <t>[Prod.xls]Prod'!G68</t>
  </si>
  <si>
    <t>[Prod.xls]Prod'!G69</t>
  </si>
  <si>
    <t>[Prod.xls]Prod II'!G33</t>
  </si>
  <si>
    <t>[Prod.xls]Prod II'!G34</t>
  </si>
  <si>
    <t>[Prod.xls]Prod II'!G35</t>
  </si>
  <si>
    <t>Special Ability: 5% bonus to Medium Hybrid Turret damage and 5% bonus to Medium Hybrid Turret rate of fire per level.</t>
  </si>
  <si>
    <t>The Osprey offers excellent versatility and power for its low price. Designed from the top down as a cheap but complete cruiser, the Osprey utilizes the best the Caldari have to offer in state-of-the-art armor alloys, sensor technology and weaponry - all mass manufactured to ensure low price. In the constant struggle to stay ahead of the Gallente, new technology has been implemented in the field of mining laser calibration. A notable improvement in ore yields has been made, especially in the hands of a well trained pilot.</t>
  </si>
  <si>
    <t>Balbuzar</t>
  </si>
  <si>
    <t>080</t>
  </si>
  <si>
    <t>Black Ops</t>
  </si>
  <si>
    <t>Redeemer</t>
  </si>
  <si>
    <t>Widow</t>
  </si>
  <si>
    <t>Sin</t>
  </si>
  <si>
    <t>Panther</t>
  </si>
  <si>
    <t>Golem</t>
  </si>
  <si>
    <t xml:space="preserve">Special Ability: 5% bonus to Medium Projectile Turret firing speed per level and 5% bonus to max velocity per level. </t>
  </si>
  <si>
    <t>The Imicus is a slow but hard-shelled frigate, ideal for any type of scouting activity. Used by merchant, miner and combat groups, the Imicus is usually relied upon as the operation's eyes and ears when traversing low security sectors.</t>
  </si>
  <si>
    <t>Battlecruiser Skill Bonus: 10% reduction in laser capacitor need and 5% bonus to laser damage. 99% reduction in the CPU need of Warfare Link modules.</t>
  </si>
  <si>
    <t>Erebus</t>
  </si>
  <si>
    <t>1000 O</t>
  </si>
  <si>
    <t>The Velator class frigate is one of the older vessel types in the Gallente fleet. It was first deployed on the market as a fast passenger craft but the extra passenger quarters were later modified into weapon hardpoints as the newer models came to be used for small-scale security and military duties. The Velator is still a very solid mining and trading vessel</t>
  </si>
  <si>
    <t>150</t>
  </si>
  <si>
    <t>Reaper</t>
  </si>
  <si>
    <t>Special Ability: 5% bonus to velocity per skill level.</t>
  </si>
  <si>
    <t>The Reaper-class is the smallest of the Minmatar frigates, just barely reaching frigate status instead of a manned fighter. The Reaper is very cheap and is used en masse in daring hit-and-run operations by Minmatars either side of the law</t>
  </si>
  <si>
    <t>Since this terror was first seen haunting the spacelanes a year and a half ago, it has been the subject of persistent rumors to the effect that its design bears the indelible stamp of long-dead Sansha's own madness. Who else, the conspiracy theorists argue, could come up with such marvelously twisted designs?</t>
  </si>
  <si>
    <t>Special Ability: 100% bonus to Large Energy Turret damage. Amarr Battleship Skill Bonus: 7.5% bonus to Large Energy Turret tracking per level. Caldari Battleship Skill Bonus: 5% bonus to Large Energy Turret damage per level.</t>
  </si>
  <si>
    <t>Distance</t>
  </si>
  <si>
    <t>WCN</t>
  </si>
  <si>
    <t>177</t>
  </si>
  <si>
    <t>Hoarder</t>
  </si>
  <si>
    <t>15</t>
  </si>
  <si>
    <t>19</t>
  </si>
  <si>
    <t>21</t>
  </si>
  <si>
    <t>Gallente</t>
  </si>
  <si>
    <t>Guardian-Vexor</t>
  </si>
  <si>
    <t>13</t>
  </si>
  <si>
    <t>16</t>
  </si>
  <si>
    <t>Armageddon</t>
  </si>
  <si>
    <t xml:space="preserve">Special Ability: 5% bonus to light missile and rocket kinetic damage 10% bonus to light missile and rocket velocity per skill level. </t>
  </si>
  <si>
    <t>Structure</t>
  </si>
  <si>
    <t>[Prod.xls]Prod'!G111</t>
  </si>
  <si>
    <t>The Badger-class freighter is the main cargo-carrier for the Caldari State, particularly in long, arduous trade-runs. Its huge size and comfortable armament makes it perfectly equipped for those tasks, although the Caldari seldom let it roam alone</t>
  </si>
  <si>
    <t>Blaireau</t>
  </si>
  <si>
    <t>V-1303</t>
  </si>
  <si>
    <t>171</t>
  </si>
  <si>
    <t>Badger mark II</t>
  </si>
  <si>
    <t>Atron</t>
  </si>
  <si>
    <t xml:space="preserve">Special Ability: 10% bonus to Medium Energy Turret capacitor use per level and 5% bonus to Medium Energy Turret rate of fire per level. </t>
  </si>
  <si>
    <t>[Prod.xls]Prod'!G39</t>
  </si>
  <si>
    <t>[Prod.xls]Prod'!G40</t>
  </si>
  <si>
    <t>[Prod.xls]Prod II'!G3</t>
  </si>
  <si>
    <t>Paladin</t>
  </si>
  <si>
    <t>Missiles</t>
  </si>
  <si>
    <t>Battlecruiser Skill Bonus: 25% bonus to Medium Projectile Turret rate of fire and 37.5% bonus to Shield Booster effectiveness per level. Command Ships Skill Bonus: 5% bonus to Medium Projectile Turret damage and 10% bonus to Medium Projectile Turret falloff per level. Role Bonus: 99% reduction in Warfare Link module CPU need</t>
  </si>
  <si>
    <t>The Vengeance represents the latest in the Kingdom's ongoing mission to wed Amarr and Caldari tech, molding the two into new and exciting forms. Sporting a Caldari ship's launcher hardpoints as well as an Amarr ship's armor systems, this relentless slugger is perfect for when you need to get up close and personal. Developer: Khanid Innovation. Constantly striving to combine the best of two worlds, Khanid Innovation have utilized their Caldari connections to such an extent that the Kingdom's ships now possess the most advanced missile systems outside Caldari space, as well as fairly robust electronics systems.</t>
  </si>
  <si>
    <t>Of all the dreadnoughts currently in existence, the versatile Moros possesses perhaps the greatest capacity to fend off smaller hostiles by itself while concentrating on its primary capital target. By virtue of its protean array of point defense capabilities - including a drone bay capable of fielding vast amounts of drones to safeguard the behemoth - the Moros is single-handedly capable of turning the tide in a fleet battle.</t>
  </si>
  <si>
    <t>Moros (grec : le Destin)</t>
  </si>
  <si>
    <t>019</t>
  </si>
  <si>
    <t>Naglfar</t>
  </si>
  <si>
    <t>176</t>
  </si>
  <si>
    <t>The Jaguar is a versatile ship capable of reaching speeds unmatched by any other assault-class vessel. While comparatively weak on the defensive front it sports great flexibility, allowing pilots considerable latitude in configuring their loadouts for whatever circumstances they find themselves in. Developer: Thukker Mix. Being the brain-child of the nomadic Thukkers, it is no surprise the Jaguar is as fast as it is. Initially conceived as a way for the tribe to pack some added punch to their organized detachments, they've found it to be equally useful as messenger, scout and escort, and it is likely to become one of the most commonly-seen ships in the Thukkers' stomping grounds.</t>
  </si>
  <si>
    <t>Plasma</t>
  </si>
  <si>
    <t>Subsystem Skill Bonus : 5% bonus to all armor resistances per level. 10% bonus to remote armor repairers system effectiveness per level.</t>
  </si>
  <si>
    <t>Subsystem Skill Bonus : 5% bonus to effectiveness of Armored Warfare Links per subsystem skill level. Role Bonus : 99% reduction in Warfare Link module CPU need.</t>
  </si>
  <si>
    <t>After countless failed projects over the years, the dream of linking fleets with sub-Battlecruiser hulls was eventually shelved and relegated to the realm of engineering theory. It remained this way for some time, tempting few starship manufacturers to revisit the challenge, even after the discovery of ancient Sleeper designs and the influx of fullerene-based technology. It was not until the first Strategic Cruiser hulls began appearing in small numbers across the empires that they began to truly appreciate the potential Tech III vessels had for modifications. Not long after, the first warfare processor housing became a reality. Although what it delivered as a standalone unit was undoubtedly impressive, what would count more in time was the way it served as a catalyst. The unit demonstrated to the wider spacefaring industry that the possibilities for Tech III ships were broader than first imagined, and in doing so, it heralded the beginning of even more radical and innovative designs.</t>
  </si>
  <si>
    <t>The advanced Sleeper-based technology in this subsystem is focused on increasing the effectiveness of a vessel’s armor nanobots. When integrated into the hull of a Legion, it offers a substantial increase in the armor output of any repair modules fitted, whether local or remote. Although the subsystem offers the same end result as other built-in armor repair augmentations, the technology driving it operates in a vastly different way, allowing for easy removal from its host vessel.</t>
  </si>
  <si>
    <t>The Condor is fast and agile. It has limited cargo space so it's not very suitable for trading or mining. It is best used as an assault vessel in a hit-and-run type of operations</t>
  </si>
  <si>
    <t>127</t>
  </si>
  <si>
    <t>Griffin</t>
  </si>
  <si>
    <t>Special Ability: 10% bonus to Medium Hybrid Turret optimal range per level and 5% bonus to shield resistance per level.</t>
  </si>
  <si>
    <t>Carthum Conglomerate</t>
  </si>
  <si>
    <t>Ishukone</t>
  </si>
  <si>
    <t>Duvolle Labs</t>
  </si>
  <si>
    <t>CreoDron</t>
  </si>
  <si>
    <t>The Navy-issued version of the Augoror cruiser is an extremely resilient piece of hardware able to provide very good support in fleet battles, but it is also a relatively nimble cruiser ideally suited for escort duties as well as smaller skirmishes. Created to fill a void within the ranks of the traditionally slow and lumbering Amarrian fleet, this vessel has fit in perfectly.</t>
  </si>
  <si>
    <t>Moa</t>
  </si>
  <si>
    <t>Ion</t>
  </si>
  <si>
    <t>Appocalypse Navy Issue</t>
  </si>
  <si>
    <t>The mighty Armageddon class is the main warship of the Amarr Empire. Its heavy armaments and strong front are specially designed to crash into any battle like a juggernaut and deliver swift justice in the name of the Emperor.</t>
  </si>
  <si>
    <t>027</t>
  </si>
  <si>
    <t>Amarr Frigate Skill Bonus: 25% bonus to rocket damage and 25% bonus to armor resistances. Interceptors Skill Bonus: 15% reduction in MicroWarpdrive signature radius penalty and 5% bonus to Warp Scrambler and Warp Disruptor range per level. Role bonus: 80% reduction in Propulsion Jamming systems activation cost.</t>
  </si>
  <si>
    <t>Caldari Frigate Skill Bonus: 50% bonus to Kinetic Missile damage. Interceptors Skill Bonus: 15% reduction in MicroWarpdrive signature radius penalty and 10% bonus to Missile Velocity per level. Role bonus: 80% reduction in Propulsion Jamming systems activation cost.</t>
  </si>
  <si>
    <t xml:space="preserve">Special Ability: 5% bonus to Cruise and Siege Launcher Rate Of Fire and 10% bonus to Cruise Missile and Torpedo Velocity per level. </t>
  </si>
  <si>
    <t>Command ships are engineered specifically to wreak havoc on a battlefield of many. Sporting advanced command module interfaces, these vessels are more than capable of turning the tide in large engagements. Fleet command ships represent the ultimate in warfare link efficiency; while not packing the punch of their field command counterparts, the boosts they give their comrades in combat make them indispensable assets to any well-rounded fleet. Developer: Khanid Innovations. In addition to robust electronics systems, the Khanid Kingdom's ships possess advanced armor alloys capable of withstanding a great deal of punishment. Generally eschewing the use of turrets, they tend to gear their vessels more towards close-range missile combat.</t>
  </si>
  <si>
    <t>2nd Genesis II</t>
  </si>
  <si>
    <t>Amarr frigate Skill bonus : 10% reduction in small energy Turret capacitor use and 5% bonus to Small Energy Turret damage per level</t>
  </si>
  <si>
    <t>The Maulus is a high-tech vessel, specialized for electronic warfare. It is particularly valued amongst bounty hunters for the ship's optimization for warp scrambling technology, giving its targets no chance of escape</t>
  </si>
  <si>
    <t>135</t>
  </si>
  <si>
    <t>Khanid's engineers have spent months perfecting the Sacrilege's on-board missile launcher optimization systems, making it a very effective heavy assault missile platform. In addition, its supremely advanced capacitor systems make it one of the most dangerous ships in its class. Developer: Khanid Innovation. In an effort to maintain the fragile peace with the old empire through force of deterrence, Khanid Innovation have taken the Maller blueprint and morphed it into a monster. State-of-the-art armor alloys, along with missile systems developed from the most advanced Caldari designs, mean the Sacrilege may be well on its way to becoming the Royal Khanid Navy's flagship cruiser.</t>
  </si>
  <si>
    <t>The Thorax-class cruiser is the latest combat ship commissioned by the Federation. While the Thorax is a very effective ship at any range, typical of modern Gallente design philosophy it is most effective when working at extreme close range where its blasters and hordes of combat drones tear through even the toughest of enemies.</t>
  </si>
  <si>
    <t>bonus</t>
  </si>
  <si>
    <t>The Slasher is cheap, but versatile. It's been manufactured en masse, making it one of the most common vessels in Minmatar space. The Slasher is extremely fast, with decent armaments, and is popular amongst budding pirates and smugglers</t>
  </si>
  <si>
    <t>Tailladeur</t>
  </si>
  <si>
    <t>142</t>
  </si>
  <si>
    <t>Little hard data is to be had on the Daredevil's exact origin, but it is believed that Guardian Angel engineers created it to serve as a defensive complement to the Cartel's Dramiel frigate. In both flair and utility it closely resembles its counterpart, but it eschews offensive capabilities in favor of greater defensive potential and stronger armor plating. A tough nut to crack.</t>
  </si>
  <si>
    <t>09</t>
  </si>
  <si>
    <t>EA</t>
  </si>
  <si>
    <t>203</t>
  </si>
  <si>
    <t>Omen Navy Issue</t>
  </si>
  <si>
    <t>Special Ability: 10% bonus to Medium Energy Turret capacitor use per level and 7.5% bonus to Medium Energy Turret rate of fire per level.</t>
  </si>
  <si>
    <t>Electronic attack ships are mobile, resilient electronic warfare platforms. Although well suited to a variety of situations, they really come into their own in skirmish and fleet encounters, particularly against larger ships. For anyone wanting to decentralize their fleet’s electronic countermeasure capabilities and make them immeasurably harder to counter, few things will serve better than a squadron or two of these little vessels. Core Complexion’s ships are unusual in that they favor electronics and defense over the “lots of guns” approach traditionally favored by the Minmatar.</t>
  </si>
  <si>
    <t>008</t>
  </si>
  <si>
    <t>Aeon</t>
  </si>
  <si>
    <t xml:space="preserve">Minmatar Frigate Skill Bonus: 25% bonus to Small Projectile Turret damage and 50% bonus to Small Projectile Turret optimal range per level. Covert Ops Skill Bonus: -98% to -100% reduction in Cloaking Device CPU use per level and 10% reduction to duration/activation time of modules requiring Astrometrics per level </t>
  </si>
  <si>
    <t>Special Ability: 25% bonus to Small Hybrid Turret damage. Gallente Frigate Skill Bonus: 7,5% bonus to Small Hybrid Turret tracking speed per level. Minmatar Frigate Skill Bonus: 5% reduction in MicroWarpdrive capacitor penalty per level.</t>
  </si>
  <si>
    <t>Hypérion (grec : Titan assimilé au Soleil)</t>
  </si>
  <si>
    <t>Engoulevent d'Amérique</t>
  </si>
  <si>
    <t>Dévot</t>
  </si>
  <si>
    <t>Phobos (grec : incarnation de la peur panique)</t>
  </si>
  <si>
    <t>+CE7</t>
  </si>
  <si>
    <t>Designed and constructed by the most skilled starship engineers and architects of the Empire, the imperial issue of the mighty Armageddon class is an upgraded version of the most-used warship of the Amarr. Its heavy armaments and strong front are specially designed to crash into any battle like a juggernaut and deliver swift justice in the name of the Emperor.</t>
  </si>
  <si>
    <t>[Prod.xls]Prod II'!G36</t>
  </si>
  <si>
    <t>[Prod.xls]Prod'!G76</t>
  </si>
  <si>
    <t>The Archon was commissioned by the Amarr Navy to act as a personnel and fighter carrier. The order to create the ship came as part of a unilateral initative issued by Navy Command in the wake of Emperor Kor-Azor’s assassination. Sporting the latest in fighter command interfacing technology and possessing characteristically strong defenses, the Archon is a powerful aid in any engagement.</t>
  </si>
  <si>
    <t>010</t>
  </si>
  <si>
    <t>Chimera</t>
  </si>
  <si>
    <t>Caldari Cruiser Skill Bonus: 750% bonus to Shield Transport and Energy Transfer Array range and 100% bonus to Shield Maintenance Bot transfer amount. Logistics Skill Bonus: 15% reduction in Shield Transport and Energy Transfer Array capacitor use per level. Role Bonus: -50% CPU need for Shield Transporters and -50% power need for Energy Transfer Arrays.</t>
  </si>
  <si>
    <t>06/2008</t>
  </si>
  <si>
    <t>Empyrean Age</t>
  </si>
  <si>
    <t>Minmatar Cruiser Skill Bonus: 25% bonus to Medium Projectile Turret rate of fire and 25% bonus to Medium Projectile Turret damage. Heavy Assault Ship Skill Bonus: 10% bonus to Medium Projectile Turret optimal range and 5% bonus to Medium Projectile Turret tracking speed per level</t>
  </si>
  <si>
    <t>Viator</t>
  </si>
  <si>
    <t>Iteron mk IV</t>
  </si>
  <si>
    <t>038</t>
  </si>
  <si>
    <t>Projectile</t>
  </si>
  <si>
    <t>Missile</t>
  </si>
  <si>
    <t>Armement</t>
  </si>
  <si>
    <t>Hybrid</t>
  </si>
  <si>
    <t>[Prod.xls]Prod II'!G13</t>
  </si>
  <si>
    <t>Mall (Tribunal carolingien)</t>
  </si>
  <si>
    <t>Amarr Industrial Skill Bonus: 25% cargo capacity and 25% velocity. Transport Ships Skill Bonus: 5% armor repairer repair amount and 5% bonus to armor HP per level. Role Bonus: +2 warp strength.</t>
  </si>
  <si>
    <t>Interceptors utilize a combination of advanced alloys and electronics to reduce their effective signature radius. This, along with superior maneuverability and speed, makes them very hard to target and track, particularly for high caliber turrets. Developer: Roden Shipyards. Unlike most Gallente ship manufacturers, Roden Shipyards tends to favor missiles over drones and their ships are generally faster than other Gallente ships in their class. They generally have a substantial amount of hull modification options but limited electronic systems.</t>
  </si>
  <si>
    <t>Frigate</t>
  </si>
  <si>
    <t>Special Ability: 25% bonus to Large Projectile Turret rate of fire. Minmatar Battleship Skill Bonus: 5% bonus to Large Projectile Turret damage per level Gallente Battleship Skill Bonus: 5% bonus to Large Projectile Turret tracking speed per level.</t>
  </si>
  <si>
    <t>Gallente Freighter Skill Bonus: 5% bonus to cargo hold capacity and 5% bonus to agility per level. Jump Freighters Skill Bonus: 10% bonus to shield, armor and hull hitpoints and 10% reduction in jump fuel need per level</t>
  </si>
  <si>
    <t>Minmatar Freighter Skill Bonus: 5% bonus to cargo hold capacity and 5% bonus to agility per level. Jump Freighters Skill Bonus: 10% bonus to shield, armor and hull hitpoints and 10% reduction in jump fuel need per level</t>
  </si>
  <si>
    <t>Mining/Support</t>
  </si>
  <si>
    <t xml:space="preserve">Special Ability: 5% bonus to cargo capacity per skill level. 5% reduction to duration/activation time of modules requiring Astrometrics per level </t>
  </si>
  <si>
    <t>Transport/Recon</t>
  </si>
  <si>
    <t>Drone boat/Recon</t>
  </si>
  <si>
    <t>Drone boat/Ewar</t>
  </si>
  <si>
    <t>Assault/Drone boat</t>
  </si>
  <si>
    <t>Assault/Drone boat/Mining</t>
  </si>
  <si>
    <t>Drone boat/Ewar/Recon</t>
  </si>
  <si>
    <t>Drone boat/Ewar/Mining</t>
  </si>
  <si>
    <t>Freedom is liquid, supple, mellifluous. It surrounds us, engulfs our bodies, drowns our fear. We plumb freedom’s depths and consume the nourishment within. From these waters, we are born; when we die, we shall return to those waters. Out there, among the stars, are the waters, freedom incarnate. That dark, endless void is our destiny, our path, our goal. We must not fear it, nor should we control it. Rather, we should embrace it, trust it, love it. Its ever-changing face, its protean existence, is our very essence. We are those stars, the void, the awesome waters of space: ancient, forever, free. - Jinsente Parmen, The Gallente in New Eden.</t>
  </si>
  <si>
    <t>When we first saw the flock, we were surrounded, caught in a spectacle of stimuli. Brilliant colors, dancing lights, beautiful cacophonies, wafting ambrosia. Those birds surrounded us, each one a different shape, an altered species, a new wonder. I tried to follow a single bird, but my efforts were futile: Transformation is natural to their existence. Imagine it: an undulating mass, a changing mob, all those beasts partaking in wonderful transmogrification. These were our augurs, our deliverers, our saviors. Standing amidst the flock, we should have feared their glory; instead, we drew hope. This moment is the first time I understood what it meant to be Caldari: Divinity in the flock, delivery in flux, one being, many changes. - Janto Sitarbe, The Legendary Flock.</t>
  </si>
  <si>
    <t>Megathron Navy Issue</t>
  </si>
  <si>
    <t>Armagedon</t>
  </si>
  <si>
    <t>uilt with special tracking support arrays, the Scimitar was designed in large part to assist heavy combat vessels in tracking fast-moving targets. Relatively nimble for a support cruiser, it can often be found ducking between battleships, protecting its own back while lending the behemoths the support they need to take out their enemies. Developer: Core Complexions, Inc. Core Complexions ships are unusual in that they favor electronics and defense over the "Lots of guns" approach traditionally favored by the Minmatar. Being a support cruiser, the Scimitar therefore fits ideally into their design scheme.</t>
  </si>
  <si>
    <t>Cimeterre</t>
  </si>
  <si>
    <t>064</t>
  </si>
  <si>
    <t>Recon ship</t>
  </si>
  <si>
    <t>Special Ability: 10% bonus to EM missile damage and 5% bonus to Explosive, Kinetic and Thermal missile damage per level.</t>
  </si>
  <si>
    <t>The Skiff is the smallest of the second generation of mining vessels created by the ORE Syndicate. Exhumers, like their mining barge cousins, are equipped with electronic subsystems specifically designed to accommodate Strip Mining modules. They are also far more resilient, better able to handle the dangers of deep space. Skiffs are specialty vessels, designed to mine Mercoxit.</t>
  </si>
  <si>
    <t>Yole</t>
  </si>
  <si>
    <t>183</t>
  </si>
  <si>
    <t xml:space="preserve">Special Ability: Able to equip Strip Miner and Ice Harvester turrets. 3% better yield for Strip Miners per level. </t>
  </si>
  <si>
    <t>22</t>
  </si>
  <si>
    <t>23</t>
  </si>
  <si>
    <t>24</t>
  </si>
  <si>
    <t>25</t>
  </si>
  <si>
    <t>26</t>
  </si>
  <si>
    <t>Special Ability: 5% Bonus Cargo Capacity and Max Velocity per Amarr Industrial skill level</t>
  </si>
  <si>
    <t>Core Complexion</t>
  </si>
  <si>
    <t>Command ships are engineered specifically to wreak havoc on a battlefield of many. Sporting advanced command module interfaces, these vessels are more than capable of turning the tide in large engagements. Field command ships are geared more towards out-and-out combat than their fleet command counterparts, though both ships can hold their own in battle. Developer: Carthum Conglomerate. Carthum ships are the very embodiment of the Amarrian warfare philosophy. Possessing sturdy armor and advanced weapons systems, they provide a nice mix of offense and defense. On the other hand, their electronics and shield systems tend to be rather limited.</t>
  </si>
  <si>
    <t>Khanid Innovations</t>
  </si>
  <si>
    <t>Viziam</t>
  </si>
  <si>
    <t>Gallente Carrier Skill Bonuses : 50% bonus to Capital Armor and Shield transfer range per level. 5% bonus to deployed Fighters’ damage per level. 99% reduction in CPU need for Warfare Link modules. 99% reduction in CPU need for Tactical Logistics Reconfiguration modules. Can deploy 1 additional Fighter per level. 200% bonus to Fighter control range.</t>
  </si>
  <si>
    <t>The Prophecy is built on an ancient Amarrian warship design dating back to the earliest days of starship combat. Originally intended as a full-fledged battleship, it was determined after mixed fleet engagements with early prototypes that the Prophecy would be more effective as a slightly smaller, more mobile form of artillery support.</t>
  </si>
  <si>
    <t>Prophétie</t>
  </si>
  <si>
    <t>046</t>
  </si>
  <si>
    <t>Interdictors are destroyer-sized vessels built to fill a single important tactical niche: the breaching of enemy warp tunnels. Capable of launching warp-disrupting interdiction spheres, interdictors are of great value in locations of strategic importance where enemy movement must be restricted. Additionally, much like their destroyer-class progenitors, they are well-suited to offensive strikes against frigate-sized craft. Developer: Kaalakiota. As befits one of the largest weapons manufacturers in the known world, Kaalakiota's ships are very combat focused. Favoring the traditional Caldari combat strategy, they are designed around a substantial number of weapons systems, especially missile launchers. However, they have rather weak armor and structure, relying more on shields for protection.</t>
  </si>
  <si>
    <t>Moucherolle</t>
  </si>
  <si>
    <t>090</t>
  </si>
  <si>
    <t>Eris</t>
  </si>
  <si>
    <t>Battlecruiser Skill Bonus: 5% shield resistance and 5% bonus kinetic damage of heavy missiles and heavy assault missiles. 99% reduction in the CPU need of Warfare Link modules.</t>
  </si>
  <si>
    <t>Geared toward versatility and prolonged deployment in hostile environments, Marauders represent the cutting edge in today’s warship technology. While especially effective at support suppression and wreckage salvaging, they possess comparatively weak sensor strength and may find themselves at increased risk of sensor jamming. Nevertheless, these thick-skinned, hard-hitting monsters are the perfect ships to take on long trips behind enemy lines. Carthum ships are the very embodiment of the Amarrian warfare philosophy. Possessing sturdy armor and advanced weapon systems, they provide a nice mix of offense and defense.</t>
  </si>
  <si>
    <t>Tristan</t>
  </si>
  <si>
    <t>Black Ops battleships are designed for infiltration and espionage behind enemy lines. With the use of a short-range jump drive and a portal generator, they are capable of making a special type of jump portal usable only by covert ops vessels. This enables them to stealthily plant reconnaissance and espionage forces in enemy territory. For the final word in clandestine maneuvers, look no further. As befits one of the largest weapons manufacturers in the known world, Kaalakiota’s ships are very combat focused. Favoring the traditional Caldari combat strategy, they are designed around a substantial number of weapons systems, especially missile launchers. However, they have rather weak armor and structure, relying more on shields for protection.</t>
  </si>
  <si>
    <t>The Raven is the powerhouse of the Caldari Navy. With its myriad launcher slots and powerful shields, few ships can rival it in strength or majesty</t>
  </si>
  <si>
    <t>Corbeau</t>
  </si>
  <si>
    <t>C-X1 T</t>
  </si>
  <si>
    <t>028</t>
  </si>
  <si>
    <t>Rokh</t>
  </si>
  <si>
    <t>The Guardian is the first vessel to feature Carthum Conglomerate's brand new capacitor flow maximization system, allowing for greater amounts of energy to be stored in the capacitor as well as providing increased facilities for transporting that energy to other ships. Developer: Carthum Conglomerate. While featuring Carthum's trademark armor and hull strength, the Guardian, being a support ship, has no armament hardpoints. Its intended main function is to serve as an all-round support vessel, providing the raw energy for fleet compatriots to do what they need to do in order to achieve victory.</t>
  </si>
  <si>
    <t>Gardien</t>
  </si>
  <si>
    <t>061</t>
  </si>
  <si>
    <t>Basilisk</t>
  </si>
  <si>
    <t>Osprey</t>
  </si>
  <si>
    <t>Fusion</t>
  </si>
  <si>
    <t>This ship is a masterly designed frigate as much as it is an exquisite piece of art. The Magnate class has been the pet project of a small elite group of royal ship engineers for a decade. Only recently has the long years of expensive research paid off with the Gold issue of this renowned masterwork.</t>
  </si>
  <si>
    <t>Opux Luxury Yacht</t>
  </si>
  <si>
    <t>Opux</t>
  </si>
  <si>
    <t>Ares (grec : dieu de la guerre)</t>
  </si>
  <si>
    <t>117</t>
  </si>
  <si>
    <t>Taranis</t>
  </si>
  <si>
    <t xml:space="preserve">Gallente Cruiser Skill Bonus: 5% bonus to Medium Hybrid Turret damage and 10% bonus to drone hitpoints, damage and mining yield per skill level. Heavy Assault Ship Skill Bonus: +5 km bonus to Scout and Heavy Drone operation range and +50 m3 extra Drone Bay space per level </t>
  </si>
  <si>
    <t>The first Scorpion-class battleship was launched only a couple of years ago, and those that have been built are considered to be prototypes. Little is known of its capabilities, but what has been garnered suggests that the Scorpion is crammed to the brink with sophisticated hi-tech equipment that few can match</t>
  </si>
  <si>
    <t>CB-34</t>
  </si>
  <si>
    <t>030</t>
  </si>
  <si>
    <t>The Atron is a hard nugget with an advanced power conduit system, but little space for cargo. Although the Atron is a good harvester when it comes to mining, its main ability is as a combat vessel.</t>
  </si>
  <si>
    <t>Atron (du latin patron : protecteur)</t>
  </si>
  <si>
    <t>132</t>
  </si>
  <si>
    <t>Imicus</t>
  </si>
  <si>
    <t>Cormorant</t>
  </si>
  <si>
    <t xml:space="preserve">Special Ability: 5% bonus to Medium Projectile Turret Rate of Fire and 7.5% bonus to target painter effectiveness per skill level. </t>
  </si>
  <si>
    <t>Specialized as a frigate-class drone carrier, the Ishkur carries less in the way of firepower than most other Gallente gunboats. With a fully stocked complement of drones and a skilled pilot, however, no one should make the mistake of thinking this vessel easy prey. Developer: CreoDron. As the largest drone developer and manufacturer in space, CreoDron has a vested interest in drone carriers. While sacrificing relatively little in the way of defensive capability, the Ishkur can chew its way through surprisingly strong opponents - provided, of course, that the pilot uses top-of-the-line CreoDron drones.</t>
  </si>
  <si>
    <t>Ishkur (babylone : dieu sumérien de la foudre)</t>
  </si>
  <si>
    <t>102</t>
  </si>
  <si>
    <t xml:space="preserve">Sharing more tactical elements with smaller vessels than with its size-class counterparts, the Deimos represents the final word in up-close-and-personal cruiser combat. Venture too close to this one, and swift death is your only guarantee. Developer: Duvolle Labs. Rumor has it Duvolle was contracted by parties unknown to create the ultimate close-range blaster cruiser. In this their engineers and designers haven't failed; but the identity of the company's client remains to be discovered. </t>
  </si>
  <si>
    <t>Deimos (grec : dieu de la peur)</t>
  </si>
  <si>
    <t>057</t>
  </si>
  <si>
    <t>Ishtar</t>
  </si>
  <si>
    <t>The single-fanged Enyo sports good firepower capability, a missile hardpoint and some extremely strong armor plating, making it one of the best support frigates out there. Ideal for use as point ships to draw enemy fire from more vulnerable friendlies. Developer: Roden Shipyards. Unlike most Gallente ship manufacturers, Roden Shipyards tend to favor missiles over drones and their ships generaly possess stronger armor. Their electronics capacity, however, tends to be weaker than ships from their competitors.</t>
  </si>
  <si>
    <t>Interbus Shuttle</t>
  </si>
  <si>
    <t>The Burst is a small and fast cargo vessel. It can easily be used as a small-time miner, but requires some crunching assistance for large-scale mining operations</t>
  </si>
  <si>
    <t>Explosion</t>
  </si>
  <si>
    <t>139</t>
  </si>
  <si>
    <t>Probe</t>
  </si>
  <si>
    <t>Boundless Creation</t>
  </si>
  <si>
    <t>Lai Dai</t>
  </si>
  <si>
    <t>Thukker Mix</t>
  </si>
  <si>
    <t>Roden Shipyards</t>
  </si>
  <si>
    <t>Kaalakiota</t>
  </si>
  <si>
    <t>Special Ability: 5% bonus to Small Hybrid Turret damage and Remote Sensor Dampener effectiveness per skill level.</t>
  </si>
  <si>
    <t>Third in line to jump on the freighter bandwagon, the Republic decided early in the design process to focus on a balance between all ship systems. True to form, their creation is comparatively lightweight - though lightweight is certainly not a term easily applicable to this giant.</t>
  </si>
  <si>
    <t>Scorpion</t>
  </si>
  <si>
    <t>Amarr Frigate Skill Bonus: 50% reduction in Small Energy Turret cap use. Assault Ships Skill Bonus: 10% bonus to Small Energy Turret optimal range and 5% bonus to Small Energy Turret damage per level</t>
  </si>
  <si>
    <t>Minmatar Frigate Skill Bonus: 25% Small Projectile damage bonus. Assault Ships Skill Bonus: 10% Small Projectile Turret optimal range and 5% projectile damage per level.</t>
  </si>
  <si>
    <t>Minmatar Frigate Skill Bonus: 25% Small Projectile Damage bonus. Assault Ships Skill Bonus: 10% Small Projectile Turret damage and 10% falloff per level</t>
  </si>
  <si>
    <t>The Mammoth is the biggest and the strongest industrial ship of the Minmatar Republic. It was designed with aid from the Gallente Federation, making the Mammoth both large and powerful yet also nimble and technologically advanced. A very good buy</t>
  </si>
  <si>
    <t>Mammouth</t>
  </si>
  <si>
    <t>179</t>
  </si>
  <si>
    <t>Rattlesnake</t>
  </si>
  <si>
    <t>Raven Navy Issue</t>
  </si>
  <si>
    <t>Appocalypse Imperial Issue</t>
  </si>
  <si>
    <t>The Storm is one of two ships created by Boundless Creation for the Caldari Gaming Commission. Mounths of hard work by a dedicated team of engineers tranformed the Tempest into an even greater technological marvel with incredible destructive power. On the field of battle, this is not a ship you want to see on the other side. The Storm is given only to the winning team of the Caldari Alliance Championships.</t>
  </si>
  <si>
    <t>Calibr</t>
  </si>
  <si>
    <t>R</t>
  </si>
  <si>
    <t>The Kestrel is a heavy missile boat with a fairly large cargo space and one of the most sophisticated sensor arrays around. Interestingly enough, it has been used by both the Caldari Navy and several wealthy trade corporations as a cargo-hauling vessel. It is one of few trading vessels with good punching power, making it ideal for solo trade-runs in dangerous areas. The Kestrel was designed so that it could take up to four missile launchers but instead it can not be equipped with turret weapons nor mining lasers.</t>
  </si>
  <si>
    <t>Mining Barge Skill Bonus: Able to equip Strip Miner and Ice Harvester turrets. 15% better yield for Strip Miners. 37.5% bonus to all shield resistances. Exhumers Skill Bonus: 3% better yield for Strip Miners per level and 3% reduction in Ice Harvester duration</t>
  </si>
  <si>
    <t>Being a highly versatile class of Minmatar ships, the Bellicose has been used as a combat juggernaut as well as a support ship for wings of frigates. While not quite in the league of newer navy cruisers, the Bellicose is still a very solid ship for most purposes, especially in terms of long range combat.</t>
  </si>
  <si>
    <t>Belliqueux</t>
  </si>
  <si>
    <t>085</t>
  </si>
  <si>
    <t>Merlin</t>
  </si>
  <si>
    <t>Command ships are engineered specifically to wreak havoc on a battlefield of many. Sporting advanced command module interfaces, these vessels are more than capable of turning the tide in large engagements. Fleet command ships represent the ultimate in warfare link efficiency; while not packing the punch of their field command counterparts, the boosts they give their comrades in combat make them indispensable assets to any well-rounded fleet. Developer: CreoDron. As the largest drone developer and manufacturer in space, CreoDron has a vested interest in drone carriers. While sacrificing relatively little in the way of defensive capability, the Ishkur can chew its way through surprisingly strong opponents - provided, of course, that the pilot uses top-of-the-line CreoDron drones.</t>
  </si>
  <si>
    <t>Tristan (celte : personnage de légende)</t>
  </si>
  <si>
    <t>137</t>
  </si>
  <si>
    <t>Ragnarok (scandinave : le crépuscule des dieux)</t>
  </si>
  <si>
    <t>[Prod.xls]Prod'!G17</t>
  </si>
  <si>
    <t>[Prod.xls]Prod'!G18</t>
  </si>
  <si>
    <t>[Prod.xls]Prod'!G19</t>
  </si>
  <si>
    <t>[Prod.xls]Prod'!G20</t>
  </si>
  <si>
    <t>Minmatar Frigate Skill Bonus: 25% reduction in microwarpdrive capacitor penalty and 37.5% bonus to effectiveness of target painters. Electronic Attack Ships Skill Bonus: 20% bonus to stasis webifier range and 3% reduction in signature radius per level.</t>
  </si>
  <si>
    <t>Gallente Frigate Skill Bonus: 25% bonus to remote sensor dampener effectiveness and 50% reduction in remote sensor dampener capacitor need. Electronic Attack Ships Skill Bonus: 10% bonus to warp disruptor range and 10% reduction in warp disruptor capacitor need per level</t>
  </si>
  <si>
    <t>Slots</t>
  </si>
  <si>
    <r>
      <t>Casting his sight on his realm, the Lord witnessed The cascade of evil, the torrents of war. Burning with wrath, He stepped  down from the Heavens To judge the unworthy, To redeem the pure.</t>
    </r>
    <r>
      <rPr>
        <i/>
        <sz val="10"/>
        <color indexed="55"/>
        <rFont val="Arial"/>
        <family val="2"/>
      </rPr>
      <t xml:space="preserve"> - The Scriptures, Revelation Verses 2:12</t>
    </r>
  </si>
  <si>
    <t>BS</t>
  </si>
  <si>
    <t>5</t>
  </si>
  <si>
    <t>14</t>
  </si>
  <si>
    <t>12</t>
  </si>
  <si>
    <t>17634</t>
  </si>
  <si>
    <t>17843</t>
  </si>
  <si>
    <t>17715</t>
  </si>
  <si>
    <t>17713</t>
  </si>
  <si>
    <t>17718</t>
  </si>
  <si>
    <t>17722</t>
  </si>
  <si>
    <t>17703</t>
  </si>
  <si>
    <t>17928</t>
  </si>
  <si>
    <t>17932</t>
  </si>
  <si>
    <t>17926</t>
  </si>
  <si>
    <t>17619</t>
  </si>
  <si>
    <t xml:space="preserve">This decoratively designed ship is a luxury in it's own class. The Magnate frigate has been the pet project of a small elite group of royal ship engineers for a decade. Over the long years of expensive research, the design process has gone through several stages, each setting a new standard in frigate design, with the Silver issue being one of the most recent issues of this line of masterworks. </t>
  </si>
  <si>
    <t>Megathron Federate Issue</t>
  </si>
  <si>
    <t>Even though characteristically last in the race to create a working prototype of new technology, the Empire's engineers spared no effort in bringing the Providence into the world. While the massive potential for profit from the capsuleer market is said to have been what eventually made the stolid Empire decide to involve themselves in the freighter business, their brainchild is by no means the runt of the litter; the Providence is one of the sturdiest freighters out there</t>
  </si>
  <si>
    <t>157</t>
  </si>
  <si>
    <t>Charon</t>
  </si>
  <si>
    <t>Special Ability: Able to equip Strip Miner and Ice Harvester turrets. 3% better yield for Strip Miners per level.</t>
  </si>
  <si>
    <t>Special Ability: 5% bonus to Small Energy Turret capacitor use and Small Energy Turret damage per skill level.</t>
  </si>
  <si>
    <t>Armageddon Imperial Issue</t>
  </si>
  <si>
    <t>Stabber</t>
  </si>
  <si>
    <t>Incursus (latin : Attaque)</t>
  </si>
  <si>
    <t>134</t>
  </si>
  <si>
    <t>Interceptors utilize a combination of advanced alloys and electronics to reduce their effective signature radius. This, along with superior maneuverability and speed, makes them very hard to target and track, particularly for high caliber turrets. Developer: Khanid Innovations. In addition to robust electronics systems, the Khanid Kingdom's ships possess advanced armor alloys capable of withstanding a great deal of punishment. Generally eschewing the use of turrets, they tend to gear their vessels more towards close-range missile combat.</t>
  </si>
  <si>
    <t>Named after a child-devouring demon of Amarrian legend, the Bhaalgorn is the pride and joy of the Blood Raider cabal. Based on an Armageddon blueprint, precious few exact details are to be had about the design’s origin. Those of a superstitious persuasion whisper in the dark of eldritch ceremonies and arcane rituals, but for most people, the practical aspect of the matter will more than suffice: you see one of these blood-red horrors looming on the horizon, it’s time to make yourself scarce.</t>
  </si>
  <si>
    <t>Augoror</t>
  </si>
  <si>
    <t>Recognizing the necessity for a blaster platform to round out their high-end arsenal, the Federation Navy brought in top-level talent to work on the Hyperion. The result: one of the most lethal and versatile gunboats ever to take to the dark skies.</t>
  </si>
  <si>
    <t>032</t>
  </si>
  <si>
    <t>Minmatar Cruiser Skill Bonus: 25% bonus to Medium Projectile Turret rate of fire and 37.5% bonus to target painter effectiveness. Recon Ships Skill Bonus: 60% bonus to stasis webifier range and -92% to -100% reduction in Cloaking Device CPU use per level. Note: 200-unit reduction in liquid ozone consumption for cynosural field generation.</t>
  </si>
  <si>
    <t>Executioner</t>
  </si>
  <si>
    <t>-</t>
  </si>
  <si>
    <t>Magpulse</t>
  </si>
  <si>
    <t>Base Price</t>
  </si>
  <si>
    <t>Special Ability: 5% bonus to Medium Projectile Turret firing speed per level and 5% bonus to Medium Projectile Turret damage per level.</t>
  </si>
  <si>
    <t xml:space="preserve">Gallente Cruiser Skill Bonus: 25% bonus to Medium Hybrid Turret damage and 25% increase to MicroWarpdrive capacitor bonus. Heavy Assault Ship Skill Bonus: 10% bonus to Medium Hybrid Turret falloff and 5% bonus to Medium Hybrid Turret damage per level </t>
  </si>
  <si>
    <t>EM</t>
  </si>
  <si>
    <t>Expl</t>
  </si>
  <si>
    <t>Kin</t>
  </si>
  <si>
    <t>Armor</t>
  </si>
  <si>
    <t>Shield</t>
  </si>
  <si>
    <t>103</t>
  </si>
  <si>
    <t>[Prod.xls]Prod'!G120</t>
  </si>
  <si>
    <t>[Prod.xls]Prod'!G121</t>
  </si>
  <si>
    <t>Command ships are engineered specifically to wreak havoc on a battlefield of many. Sporting advanced command module interfaces, these vessels are more than capable of turning the tide in large engagements. Field command ships are geared more towards out-and-out combat than their fleet command counterparts, though both ships can hold their own in battle. Developer: Duvolle Labs. Duvolle Labs manufactures sturdy ships with a good mix of offensive and defensive capabilities. Since the company is one of New Eden’s foremost manufacturers of particle blasters, its ships tend to favor turrets and thus have somewhat higher power output than normal.</t>
  </si>
  <si>
    <t>Amarr Cruiser Skill Bonus: 25% bonus to Heavy Assault Missile damage and 25% bonus to all armor resistances. Heavy Assault Ship Skill Bonus: 5% reduction of capacitor recharge time and 5% bonus to Missile Launcher rate of fire per level.</t>
  </si>
  <si>
    <t>[Prod.xls]Prod'!G31</t>
  </si>
  <si>
    <t>[Prod.xls]Prod'!G32</t>
  </si>
  <si>
    <t>The Vexor is a strong combat ship that is also geared to operate in a variety of other roles. The Vexor is especially useful for surveying in potentially hostile sectors as it can stay on duty for a very long time before having to return to base. Furthermore, it is well capable of defending itself against even concentrated attacks.</t>
  </si>
  <si>
    <t>Interdictor</t>
  </si>
  <si>
    <t>Subsystem Skill Bonus : 5% bonus to medium hybrid turret damage, 10% bonus to drone damage and 7.5% bonus to drone hitpoints per level.</t>
  </si>
  <si>
    <t>Sleeper drones, while completely devoid of modern shielding technology, are nonetheless sturdy, mainly due to their metallofullerene armor plating and hull composition. Most of these technological applications are for capsuleer vessels, but a few rogue Gallente firms have quietly created this bay for use with contemporary drones. When drones are docked into this system, the projection system enhances their damage capabilities, both in absorbing and delivering damage, through the creation of a fullerene-based field around the drones.</t>
  </si>
  <si>
    <t>This complex armature is composed of fullerene composites and based upon the understood weapons mechanics of salvaged Sleeper drones. Gallente researchers have fused this technology with the emerging theories on magnetic resonance and microwarp capabilities to power the kinetic energy systems of hybrid turrets. With these mechanics in place, the propulsion armature creates an effective distribution module for hybrid charges, bolstering their damage output and their falloff rate.</t>
  </si>
  <si>
    <t>From the moment Strategic Cruisers became a reality, there were whispers amongst the scientific community about the potential for advances in cloaking technology. They remained that alone for the longest time, with few involved in the reverse engineering process willing to share any news of their discoveries. Everyone knew that, should the technology ever become a reality, the capabilities of the new Strategic Cruisers would change overnight. The Loki’s Covert Reconfiguration designs arose out of a collective will to respond to what was thought to be Amarrian aggression deep inside their home regions. Unlike many scientific and technological breakthroughs, it was not the Sebiestor tribe alone who ushered in the paradigm shift to covert-capable Strategic Cruisers. It was only through consultation and collaboration with many other tribes and sub-factions that something substantial began to take shape. The Krusual and Thukker are said to have played the most important roles, however, in realizing the final design; the Thukker by providing the cloaking technology, and the Krusual by convincing them to do so. How they achieved this, or what they may have promised remains a secret; the two tribes are notorious for having many, and keeping them all.</t>
  </si>
  <si>
    <t>Subsystem Skill Bonus : 7.5% bonus to medium projectile turret rate of fire per level. Role Bonus : 100% reduction in Cloaking Device CPU use.</t>
  </si>
  <si>
    <r>
      <t xml:space="preserve">The liberty of our people is solely our responsibility. Tempting as it is to foist this burden upon our well-wishers, we must never forget that the onus of our emancipation rests with us and us alone. For too long, our proud people have been subjugated to the whims of enslavers, forced to endure relentless suffering and humiliation at the hands of people whose motivations, masked though they may be by florid religious claptrap, remain as base and despicable as those of the playground bully. If ever there was a time to rise – if ever there was a time to join hands with our brothers – that time is now. At this exact junction in history we have within our grasp the means to loosen our tormentors’ hold and win freedom for our kin. Opportunities are there to be taken. Brothers, we must rise. </t>
    </r>
    <r>
      <rPr>
        <i/>
        <sz val="10"/>
        <color indexed="55"/>
        <rFont val="Arial"/>
        <family val="2"/>
      </rPr>
      <t>- Malaetu Shakor, Republic Parliament Head. Speaking before the Tribal Council. November 27th, YC 107</t>
    </r>
  </si>
  <si>
    <t>The Stabber is the mainstay of the Minmatar fleet. It is light and extremely fast, yet surprisingly powerful, with a wide variety of weapons. It is one of few Minmatar vessels that have reached popularity outside Minmatar space.</t>
  </si>
  <si>
    <t>Poignardeur</t>
  </si>
  <si>
    <t>088</t>
  </si>
  <si>
    <t>Heretic</t>
  </si>
  <si>
    <t>Coercer</t>
  </si>
  <si>
    <t>The Amarr Imperial Navy has been upgrading many of its ships in recent years and adding new ones. The Punisher is one of the most recent ones and considered by many to be the best Amarr frigate in existence. As witnessed by its heavy armaments, the Punisher is mainly intended for large-scale military operations, acting in coordination with larger military vessels, but it is more than powerful enough for solo operations</t>
  </si>
  <si>
    <t>Punisseur</t>
  </si>
  <si>
    <t>124</t>
  </si>
  <si>
    <t>Tormentor</t>
  </si>
  <si>
    <t>Amarr Cruiser Skill Bonus: 50% bonus to Medium Energy Turret capacitor use and 25% bonus to Medium Energy Turret rate of fire. Heavy Assault Ship Skill Bonus: 10% bonus to Medium Energy Turret optimal range and 5% bonus to Medium Energy Turret damage per level</t>
  </si>
  <si>
    <t>[Prod.xls]Prod II'!G5</t>
  </si>
  <si>
    <t>[Prod.xls]Prod II'!G6</t>
  </si>
  <si>
    <t>[Prod.xls]Prod II'!G7</t>
  </si>
  <si>
    <t>The Naglfar is based on a Matari design believed to date back to the earliest annals of antiquity. While the exact evolution of memes informing its figure is unclear, the same distinctive vertical monolith form has shown up time and time again in the wind-scattered remnants of Matari legend. Boasting impressive versatility in firepower options, the Naglfar is capable of holding its own against opponents of all sizes and shapes. While its defenses don't go to extremes as herculean as those of its counterparts, the uniformity of resilience - coupled with the sheer amount of devastation it can dish out - make this beast an invaluable addition to any fleet or army.</t>
  </si>
  <si>
    <t>The Badger Mark II is the latest of version of the famous Badger, it's mostly used by the military or the mega corps for transports of goods of great value. The Mark II has stronger defenses and more high-tech equipment, making it one of the best freight carriers available</t>
  </si>
  <si>
    <t>172</t>
  </si>
  <si>
    <t>Iteron</t>
  </si>
  <si>
    <t>Impairor</t>
  </si>
  <si>
    <t>Rookieship</t>
  </si>
  <si>
    <t>Special Ability: 10% bonus to energy turret capacitor use per skill level.</t>
  </si>
  <si>
    <t>Capital/Command/Mining/Transport</t>
  </si>
  <si>
    <t>Capital/Carrier/Support</t>
  </si>
  <si>
    <t>Ewar/Recon</t>
  </si>
  <si>
    <t>Command/Super Capital</t>
  </si>
  <si>
    <t>Special Ability: 5% bonus to Assault, Heavy Assault and Heavy Missile Launcher rate of fire and 10% bonus to Heavy Assault and Heavy Missile velocity per level.</t>
  </si>
  <si>
    <t>Amarr Frigate Skill Bonus: 50% reduction in Small Energy Turret capacitor use and 25% bonus to Small Energy Turret damage. Interceptors Skill Bonus: 15% reduction in MicroWarpdrive signature radius penalty and 7.5% bonus to Small Energy Turret Tracking Speed per level. Role bonus: 80% reduction in Propulsion Jamming systems activation cost.</t>
  </si>
  <si>
    <t>The Breacher's structure is little more than a fragile scrapheap, but the ship's missile launcher hardpoints and superior sensors have placed it among the most valued Minmatar frigates when it comes to long range combat</t>
  </si>
  <si>
    <t>Brèche</t>
  </si>
  <si>
    <t>138</t>
  </si>
  <si>
    <t>Burst</t>
  </si>
  <si>
    <t>Special Ability: 20% bonus to mining laser yield per level. 3.5% bonus to tracking links per level. 500% bonus to range of tracking links.</t>
  </si>
  <si>
    <t>Ideally suited for both skirmish warfare and fleet support, the Catalyst is touted as one of the best anti-frigate platforms out there. Faced with its top-of-the-line tracking equipment, not many can argue</t>
  </si>
  <si>
    <t>Catalyseur</t>
  </si>
  <si>
    <t>095</t>
  </si>
  <si>
    <t>136</t>
  </si>
  <si>
    <t>Special Ability: 5% bonus to Small Hybrid Turret damage and 7,5% bonus to Small Hybrid Turret tracking speed per skill level.</t>
  </si>
  <si>
    <t>Caldari Titan Skill Bonuses : 5% bonus to Citadel Missile kinetic damage per level. 5% bonus to Citadel Launcher rate of fire per level. 7.5% bonus to gang members’ maximum shield HP per level. 99% reduction in CPU need for Jump Portal Generator I. 99% reduction in CPU need for Oblivion. 99% reduction in CPU need for Clone Vat Bay. 99% reduction in CPU need for Warfare Link modules. Can fit 1 additional Warfare Link module per level.</t>
  </si>
  <si>
    <t>Special Ability: 10% bonus to Cargo Capacity per level. 10% bonus to capacitor need of remote armor repair system per level. 500% bonus to range of remote armor repair systems.</t>
  </si>
  <si>
    <t>Red Moon Rising - Blood</t>
  </si>
  <si>
    <t>Special Ability: 25% bonus to Large Hybrid Turret damage. Gallente Battleship Skill Bonus: 7.5% bonus to Large Hybrid Turret tracking speed per level. Minmatar Battleship Skill Bonus: 5% Bonus to MicroWarpdrive capacitor penalty per level</t>
  </si>
  <si>
    <t xml:space="preserve">Amarr Cruiser Skill Bonus: 25% bonus to Tracking Disruptor effectiveness and 50% bonus to drone hit points, damage and mining yield. Recon Ships Skill Bonus: 20% bonus to Energy Vampire and Energy Neutralizer transfer amount and -92% to -100% reduction in Cloaking Device CPU use per level. Note: 200-unit reduction in liquid ozone consumption for cynosural field generation. </t>
  </si>
  <si>
    <t>Arche</t>
  </si>
  <si>
    <t>Nomade</t>
  </si>
  <si>
    <t>The Bantam is a strong and sturdy craft, and an extremely effective mining frigate. Its large structure makes it ideal for trading and the Bantam is very popular among budding inter-stellar traders</t>
  </si>
  <si>
    <t>Coquelet</t>
  </si>
  <si>
    <t>E-81</t>
  </si>
  <si>
    <t>126</t>
  </si>
  <si>
    <t>[Prod.xls]Prod'!G56</t>
  </si>
  <si>
    <t>[Prod.xls]Prod'!G57</t>
  </si>
  <si>
    <t>The Heron has good computer and electronic systems, giving it the option of participating in electronic warfare. But it has relatively poor defenses and limited weaponry, so it's more commonly used for scouting and exploration.</t>
  </si>
  <si>
    <t>Héron</t>
  </si>
  <si>
    <t>129</t>
  </si>
  <si>
    <t xml:space="preserve">Special Ability: 10% bonus to Kinetic missile damage and 5% bonus to EM, Explosive, and Thermal missile damage per level. </t>
  </si>
  <si>
    <t>Battlecruiser Skill Bonus: 25% bonus to Medium Hybrid Turret damage and 37.5% bonus to Armor Repairer effectiveness. Command Ships Skill Bonus: +15 m3 extra Drone Bay space and 3% bonus to effectiveness of Information Warfare Links per level. Role Bonus: 99% reduction in Warfare Link module CPU need. Can use 3 Warfare Link modules simultaneously.</t>
  </si>
  <si>
    <t>Special Ability: 50% reduction in Large Energy Turret capacitor use. Amarr Battleship Skill Bonus: 10% bonus to Energy Vampire and Energy Neutralizer drain amount per level. Minmatar Battleship Skill Bonus: 10% bonus to Stasis Webifier activation range per level.</t>
  </si>
  <si>
    <t>Vargur</t>
  </si>
  <si>
    <t>Loup (Islandais)</t>
  </si>
  <si>
    <t>Rupture</t>
  </si>
  <si>
    <t>Amarr Battleship Skill Bonus: 50% reduction in large energy turret capacitor use and 25% bonus to large energy turret rate of fire. Black Ops Skill Bonus: 7,5% bonus to large energy turret tracking and multiplies the cloaked velocity by 125% per level. Note: can fit covert cynosural field generators and covert jump portal generators. No targeting delay after decloaking.</t>
  </si>
  <si>
    <t>Special Abilities : 5% bonus to Capital Hybrid Turret damage per level. 50% bonus to drone damage and hitpoints per level. 99% reduction in CPU need for Siege Module</t>
  </si>
  <si>
    <t>The Comet’s design comes from one Arnerore Rylerave, an engineer and researcher of the Roden Shipyards corporation. Originally created as a standard-issue police patrol vessel, its tremendous maneuverability and great offensive capabilities catapulted it into the Navy’s ranks, where it is now a widely-used skirmish vessel.</t>
  </si>
  <si>
    <t>The Wyvern is based on documents detailing the design of the ancient Raata empire’s seafaring flagship, the Oryioni-Haru. According to historical sources the ship was traditionally taken on parade runs between the continent of Tikiona and the Muriyuke acrhipelago, seat of the Emperor, and represented the pride and joy of what would one day become the Caldari State. Today’s starfaring version gives no ground to its legendary predecessor; with its varied applications in the vast arena of deep space, the Wyvern is likely to stand as a symbol of Caldari greatness for untold years to come.</t>
  </si>
  <si>
    <t>012</t>
  </si>
  <si>
    <t>[Prod.xls]Prod'!G224</t>
  </si>
  <si>
    <t>Special Ability: 100% bonus to Medium Energy Turret damage. Amarr Cruiser Skill Bonus: 5% bonus to Medium Energy Turret tracking per level. Caldari Cruiser Skill Bonus: 5% bonus to Medium Energy Turret damage per level.</t>
  </si>
  <si>
    <t>Caldari Frigate Skill Bonus: 25% bonus to Small Hybrid Turret damage and 50% bonus to Small Hybrid Turret range. Interceptors Skill Bonus: 15% reduction in MicroWarpdrive signature radius penalty and 5% bonus to Warp Scrambler and Warp Disruptor range per level. Role bonus: 80% reduction in Propulsion Jamming systems activation cost.</t>
  </si>
  <si>
    <t>Dominix (du latin dominus : Seigneur)</t>
  </si>
  <si>
    <t>031</t>
  </si>
  <si>
    <t>Hyperion</t>
  </si>
  <si>
    <t>A</t>
  </si>
  <si>
    <t>The Arbitrator is unusual for Amarr ships in that it's primarily a drone carrier. While it is not the best carrier around, it has superior armor that gives it greater durability than most ships in its class</t>
  </si>
  <si>
    <t>Arbitre</t>
  </si>
  <si>
    <t>073</t>
  </si>
  <si>
    <t xml:space="preserve">The Empire's inner circle of armaments manufacturers has long been proud of the expert methods utilized to harden the Navy Issue Apocalypse's armor plating and structural framework to such an amazing degree. Its shield systems are also state-of-the-art, rivalling even Caldari Prime's best. Fearsome by reputation, this is the flagship vessel of the Imperial Navy's elite wing. Not many are unfortunate enough to have ever actually met one on the field of battle, and those who do usually do not live to tell the tale. </t>
  </si>
  <si>
    <t>Osprey Navy Issue</t>
  </si>
  <si>
    <t>Command ships are engineered specifically to wreak havoc on a battlefield of many. Sporting advanced command module interfaces, these vessels are more than capable of turning the tide in large engagements. Field command ships are geared more towards out-and-out combat than their fleet command counterparts, though both ships can hold their own in battle. Developer: Boundless Creation. Boundless Creation's ships are based on the Brutor tribe's philosophy of warfare: simply fit as much firepower onto your ship as possible. Defense systems and electronics arrays therefore tend to take a back seat to sheer annihilative potential.</t>
  </si>
  <si>
    <t>020</t>
  </si>
  <si>
    <t>II</t>
  </si>
  <si>
    <t>021</t>
  </si>
  <si>
    <t>022</t>
  </si>
  <si>
    <t>023</t>
  </si>
  <si>
    <t>024</t>
  </si>
  <si>
    <t>The Orca was developed as a joint venture between Outer Ring Excavations and Deep Core Mining Inc as a vessel to help meet the demands of New Eden's industry and provide a flexible platform from which mining operations can be more easily managed. The Orca uses much of the technology developed by ORE for the Rorqual and integrated with the latest advancements from Deep Core Mining research division has developed a vessel which offers a diverse role to all sizes of operations and needs.</t>
  </si>
  <si>
    <t>Industrial Command Ship Skill Bonus : 5% bonus to cargo capacity per level. 3% bonus to effectiveness of mining foreman gang links per level. Role Bonus : 250% bonus to tractor beam range. 100% bonus to tractor beam velocity. 500% bonus to survey scanner range. 99% reduction in CPU need for Gang Link modules.</t>
  </si>
  <si>
    <t>QR</t>
  </si>
  <si>
    <t>Quantum Rise</t>
  </si>
  <si>
    <t>The Scythe Fleet Issue is a throwback to earlier days of Minmatar ship design, when the scarcity of resources meant that a single ship needed to be able to do almost everything. While often dubbed a "mini-Typhoon" for this reason, this versatile gunboat nonetheless has nowhere near the defensive capabilities of its larger ancestor. What it does bring to the table, however, is unparalleled agility and unpredictability. A squadron of these ships can be an immense thorn in the side of even the most able and well-equipped fleet commander.</t>
  </si>
  <si>
    <t>Projectile Missile</t>
  </si>
  <si>
    <t>Scythe Fleet Issue</t>
  </si>
  <si>
    <t>For many Minmatar, the high mountains of Matar hold wonders unknown to the rest of New Eden: hidden glens, beautiful creatures, buried customs. Not surprisingly, the Krusual tribe lay claim to these mountains, their home for generations and base to their machinations. Krusual elders whisper ancient tales among their huddled tribes, describing the glory of heroes past and enigmatic prophecies of old. On the darkest day, at the most hopeless moments, an elder may speak of loki, in reverent tones and excited hushes. In the ancient tongue, the loki are the crux of Krusual thought. There is no direct translation for this word; in fact, loki translates differently among the elders. It can mean “hidden wonder” or “secret passage”, “changing mask” or “unseen dagger”. Regardless of its context, loki has one meaning common to all its tales across all the elders: “hope”.</t>
  </si>
  <si>
    <t>Minmatar Strategic Cruiser Skill Bonus: 5% Reduction in the amount of heat damage absorbed by modules per level.</t>
  </si>
  <si>
    <t>Subsystem Skill Bonus : 5% bonus to all armor resistances per level.</t>
  </si>
  <si>
    <t>Subsystem Skill Bonus : 5% reduction in signature radius per level.</t>
  </si>
  <si>
    <t>Amplification Node</t>
  </si>
  <si>
    <t>Immobility Drivers</t>
  </si>
  <si>
    <t>Subsystem Skill Bonus : 30% bonus to stasis webifier range per level</t>
  </si>
  <si>
    <t>Subsystem Skill Bonus : 15% bonus to scan resolution per level</t>
  </si>
  <si>
    <t>Hardpoint Efficiency Configuration</t>
  </si>
  <si>
    <t>Projectile Scoping Array</t>
  </si>
  <si>
    <t>The Omen Navy Issue was originally conceived as a multipurpose search and rescue vessel with strong combat capabilities. In response to the increasing need for ships capable of countering frigate swarms, its designers additionally included a drone bay intended to give the ship a greater range of options when faced with mixed enemy squadrons. The end result is a somewhat more flexible offering than Amarr design philosophy generally dictates, but don't be fooled: this crusher still packs all the punch one would expect from a ship of the golden fleet.</t>
  </si>
  <si>
    <t>Tempest</t>
  </si>
  <si>
    <t>17740</t>
  </si>
  <si>
    <t>17736</t>
  </si>
  <si>
    <t>17732</t>
  </si>
  <si>
    <t>17918</t>
  </si>
  <si>
    <t>17728</t>
  </si>
  <si>
    <t>17636</t>
  </si>
  <si>
    <t>17920</t>
  </si>
  <si>
    <t>Gallente Cruiser Skill Bonus: 25% bonus to medium hybrid turret damage and 25% bonus to armor resistances. Heavy Interdictors Skill Bonus: 10% bonus to medium hybrid turret falloff per level and 5% bonus to range of warp disruption fields per level. Note: can fit warp disruption field generators.</t>
  </si>
  <si>
    <t>Firetail</t>
  </si>
  <si>
    <t>01</t>
  </si>
  <si>
    <t>02</t>
  </si>
  <si>
    <t>03</t>
  </si>
  <si>
    <t>04</t>
  </si>
  <si>
    <t>05</t>
  </si>
  <si>
    <t>06</t>
  </si>
  <si>
    <t>07</t>
  </si>
  <si>
    <t>Minmatar Carrier Skill Bonuses : 50% bonus to Capital Armor and Shield transfer range per level. 5% bonus to Armor and Shield transfer amount per level. 99% reduction in CPU need for Clone Vat Bay. 99% reduction in CPU need for Warfare Link modules. 99% reduction in CPU need for Projected Electronic Counter Measures modules. 99% reduction in CPU need for Tactical Logistics Reconfiguration modules. Can deploy 3 additional Fighters per level. Can fit 1 additional Warfare Link module per level. 200% bonus to Fighter control range. Immune to all forms of Electronic Warfare.</t>
  </si>
  <si>
    <t>Eôs (grec : déesse de l'aurore)</t>
  </si>
  <si>
    <r>
      <t xml:space="preserve">Citizens of the State, rejoice ! Today, a great milestone has been achieved by our glorious leaders. A stepping stone in the grand story of our empire has been traversed. Our individual fears may be quietened; the safety of our great nation has been secured. Today, unyielding, we have walked the way of the warrior. In our hands have our fates been molded. On the Leviathan’s back will our civilization be carried home and the taint of the Enemy purged from our souls. Rejoice, citizens! Victory is at hand. </t>
    </r>
    <r>
      <rPr>
        <i/>
        <sz val="10"/>
        <color indexed="55"/>
        <rFont val="Arial"/>
        <family val="2"/>
      </rPr>
      <t>- Caldari State Information Bureau Pamphlet, 23248 AD</t>
    </r>
  </si>
  <si>
    <t>Vexor</t>
  </si>
  <si>
    <t>The Cynabal was one of the earliest designs put forth by the Angel Cartel, and to this day it remains their most-used. The ship’s origins are unknown, but as with most Cartel ships persistent rumors of Jovian influence continue to linger. Whether they have basis in reality or not, the facts are on the table: the Cynabal is one of the fastest, most powerful cruisers to be found anywhere.</t>
  </si>
  <si>
    <t>Catalyst</t>
  </si>
  <si>
    <t>160</t>
  </si>
  <si>
    <t>Impel</t>
  </si>
  <si>
    <t>Bestower</t>
  </si>
  <si>
    <t>Quite possibly the toughest cruiser in the galaxy, the Maller is a common sight in Amarrian Imperial Navy operations. It is mainly used for military duty, although a few can be found in the private sector acting as escort ships for very important dispatches.</t>
  </si>
  <si>
    <t>075</t>
  </si>
  <si>
    <t>Special Ability: 10% bonus to Large Energy Turret capacitor use and 7.5% bonus to Large Energy Turret optimal range per level.</t>
  </si>
  <si>
    <t>Command ships are engineered specifically to wreak havoc on a battlefield of many. Sporting advanced command module interfaces, these vessels are more than capable of turning the tide in large engagements. Field command ships are geared more towards out-and-out combat than their fleet command counterparts, though both ships can hold their own in battle. Developer: Kaalakiota. As befits one of the largest weapons manufacturers in the known world, Kaalakiota's ships are very combat focused. Favoring the traditional Caldari combat strategy, they are designed around a substantial number of weapons systems, especially missile launchers. However, they have rather weak armor and structure, relying more on shields for protection.</t>
  </si>
  <si>
    <t>039</t>
  </si>
  <si>
    <t>Nyx</t>
  </si>
  <si>
    <t>Sleipnir (scandinavie : cheval d'Odin)</t>
  </si>
  <si>
    <t>044</t>
  </si>
  <si>
    <t>27</t>
  </si>
  <si>
    <t>28</t>
  </si>
  <si>
    <t>29</t>
  </si>
  <si>
    <t>30</t>
  </si>
  <si>
    <t>31</t>
  </si>
  <si>
    <t>32</t>
  </si>
  <si>
    <t>33</t>
  </si>
  <si>
    <t>Subsystem Skill Bonus : 10% bonus to energy vampire and energy neutralizer transfer amount per level.</t>
  </si>
  <si>
    <t>204</t>
  </si>
  <si>
    <t>Gila</t>
  </si>
  <si>
    <t>Phantasm</t>
  </si>
  <si>
    <t>Stabber Fleet Issue</t>
  </si>
  <si>
    <t>Vigilant</t>
  </si>
  <si>
    <t>It wasn’t long after the Thukkers began deploying their jump capable freighters that other corporations saw the inherent tactical value of such ships. After extended negotiations, Ishukone finally closed a deal exchanging undisclosed technical data for the core innovations underpinning the original Thukker Tribes design allowing them to rapidly bring to the market the largest jump capable freighter of them all, the Rhea, a true behemoth of the stars. Ishukone, always striving to be ahead of the competition, have proved themselves to be one of the most adept starship designers in the State. A surprising majority of the Caldari Fleets ships of the line were created by their designers. Respected and feared by their peers Ishukone remain amongst the very top of the Caldari corporate machine.</t>
  </si>
  <si>
    <t>Special Ability: 50% bonus to Rocket and Light Missile velocity. Caldari Frigate Skill Bonus: 5% bonus to Rocket and Light Missile kinetic damage per level. Gallente Frigate Skill Bonus: 10% bonus to Small Hybrid Turret optimal range.</t>
  </si>
  <si>
    <t>Gallente Cruiser Skill Bonus: 750% bonus to Remote Armor Repair System and Tracking Link range 100% bonus to Armor Maintenance Bot transfer amount. Logistics Skill Bonus: 15% reduction in Remote Armor Repair System capacitor use and 5% bonus to Tracking Link efficiency per level. Role Bonus: -65% power need for Remote Armor Repair Systems.</t>
  </si>
  <si>
    <t>Griffon</t>
  </si>
  <si>
    <t>128</t>
  </si>
  <si>
    <t>I</t>
  </si>
  <si>
    <t>006</t>
  </si>
  <si>
    <t>actif</t>
  </si>
  <si>
    <t>musée</t>
  </si>
  <si>
    <t>détruits</t>
  </si>
  <si>
    <t>Size</t>
  </si>
  <si>
    <t>arm.</t>
  </si>
  <si>
    <t>Platinium</t>
  </si>
  <si>
    <t>Bénef. si achat</t>
  </si>
  <si>
    <t>Bénéfice si</t>
  </si>
  <si>
    <t>002</t>
  </si>
  <si>
    <r>
      <t xml:space="preserve"> L</t>
    </r>
    <r>
      <rPr>
        <sz val="10"/>
        <color indexed="8"/>
        <rFont val="Arial"/>
        <family val="2"/>
      </rPr>
      <t>aunchers</t>
    </r>
  </si>
  <si>
    <r>
      <t xml:space="preserve"> T</t>
    </r>
    <r>
      <rPr>
        <sz val="10"/>
        <color indexed="8"/>
        <rFont val="Arial"/>
        <family val="2"/>
      </rPr>
      <t>urrets</t>
    </r>
  </si>
  <si>
    <t>Assaultship</t>
  </si>
  <si>
    <t>The Rifter is a very powerful combat frigate and can easily tackle the best frigates out there. It has gone through many radical design phases since its inauguration during the Minmatar Rebellion. The Rifter has a wide variety of offensives capabilities, making it an unpredictable and deadly adversary</t>
  </si>
  <si>
    <t>Pourfendeur ~</t>
  </si>
  <si>
    <t>141</t>
  </si>
  <si>
    <t>Following in the time-honored Caldari spaceship design tradition, the Basilisk sports top-of-the-line on-board computer systems specially designed to facilitate shield transporting arrays, while sacrificing some of the structural strength commonly found in vessels of its class. Developer: Lai Dai. Lai Dai have always favored a balanced approach to their mix of on-board systems, leading to a line-up of versatile ships but providing very little in terms of tactical specialization. With the Basilisk, their aim was to continue pushing forward the development of cutting-edge defense optimization systems while providing powerful support capability.</t>
  </si>
  <si>
    <t>Basilic</t>
  </si>
  <si>
    <t>062</t>
  </si>
  <si>
    <t>Exequror</t>
  </si>
  <si>
    <t xml:space="preserve">Special Ability: 5% bonus to Large Projectile Turret firing speed and Large Projectile Turret damage per level. </t>
  </si>
  <si>
    <t>The advanced Sleeper-based technology in this subsystem is focused on increasing the effectiveness of a vessel’s armor nanobots. When integrated into the hull of a Proteus, it offers a substantial increase in the armor output of any repair modules fitted, whether local or remote. Although the subsystem offers the same end result as other built-in armor repair augmentations, the technology driving it operates in a vastly different way, allowing for easy removal from its host vessel.</t>
  </si>
  <si>
    <t>Subsystem Skill Bonus : 5% bonus to effectiveness of Information Warfare Links per subsystem skill level. Role Bonus : 99% reduction in Warfare Link module CPU need.</t>
  </si>
  <si>
    <t>Capitalizing on the exceptional defensive capabilities of fullerene-based components, this subsystem allows a pilot to augment their Loki’ armor resistance, dramatically enhancing its survivability in combat. Tiny molecular-level conduits play a crucial role in orchestrating the flow of nano-assemblers beneath the armor’s surface, guarding the flow of vital repairs against disruptive impact.</t>
  </si>
  <si>
    <t>When confronted with the challenge of adapting Sleeper designs to produce shield boost amplification systems, Sebiestor engineers turned to the defense systems used by certain Talocan structures that had also been found amongst a few ancient ruins. In some rare cases, the shielding systems on Talocan facilities were constructed using a harmony of Sleeper and Talocan designs. The first successful production of a shield boost amplification node drew heavily upon early study of this particular combination.</t>
  </si>
  <si>
    <t>Subsystem Skill Bonus : 5% bonus to effectiveness of Skirmish Warfare Links per subsystem skill level. Role Bonus : 99% reduction in Warfare Link module CPU need.</t>
  </si>
  <si>
    <t>This subsystems employs a nano-electromechanical dispersion field to strengthen a vessel's sensor systems. Made from billions of advanced molecular-level circuits, the subsystem offers improved protection against hostile ECM.</t>
  </si>
  <si>
    <t>Subsystem Skill Bonus : 15% bonus to ship sensor strength and 5% bonus to max targeting range per level.</t>
  </si>
  <si>
    <t>Subsystem Skill Bonus : 10% increase to scan strength of probes per level. 20% bonus to range and velocity of tractor beams per level. Role Bonus : -99% reduced CPU need for Scan Probe Launchers.</t>
  </si>
  <si>
    <t>The Rorqual was conceived and designed by Outer Ring Excavations in response to a growing need for capital industry platforms with the ability to support and sustain large-scale mining operations in uninhabited areas of space. To that end, the Rorqual's primary strength lies in its ability to grind raw ores into particles of smaller size than possible before, while still maintaining their distinctive molecular structure. This means the vessel is able to carry vast amounts of ore in compressed form. Additionally, the Rorqual is able to fit a capital tractor beam unit, capable of pulling in cargo containers from far greater distances and at far greater speeds than smaller beams can. It also possesses a sizeable drone bay, jump drive capability and the capacity to fit a clone vat bay. This combination of elements makes the Rorqual the ideal nexus to build deep space mining operations around. Due to its specialization towards industrial operations, its ship maintenance bay is able to accommodate only industrial ships, mining barges and their tech 2 variants.</t>
  </si>
  <si>
    <t>Special Ability: 10% large hybrid optimal range per level and 5% shield resistance per level</t>
  </si>
  <si>
    <t xml:space="preserve">Battlecruiser Skill Bonus: 5% bonus to Medium Hybrid Turret damage and 7.5% bonus to Armor Repairer effectiveness per level. 99% reduction in the CPU need of Warfare Link modules. </t>
  </si>
  <si>
    <t>Destroyer Skill Bonus: 10% Bonus to Small Hybrid Turret tracking speed and 10% bonus to Small Hybrid Turret falloff per level. Penalty: -25% rate of fire for all turrets. Bonus: 50% bonus to optimal range for small hybrid turrets</t>
  </si>
  <si>
    <t>011</t>
  </si>
  <si>
    <t>Wyvern</t>
  </si>
  <si>
    <t>Marauder</t>
  </si>
  <si>
    <t>Amarr Carrier Skill Bonuses : 50% bonus to Capital Armor and Energy transfer range per level. 5% bonus to all Armor resistances per level. 99% reduction in CPU need for Warfare Link modules. 99% reduction in CPU need for Tactical Logistics Reconfiguration modules. Can deploy 1 additional Fighter per level. 200% bonus to Fighter control range.</t>
  </si>
  <si>
    <t>Caldari Carrier Skill Bonuses : 50% bonus to Capital Shield and Energy transfer range per level. 5% bonus to all Shield resistances per level. 99% reduction in CPU need for Warfare Link modules. 99% reduction in CPU need for Tactical Logistics Reconfiguration modules. Can deploy 1 additional Fighter per level. 200% bonus to Fighter control range.</t>
  </si>
  <si>
    <t>Force recon ships are the cruiser-class equivalent of covert ops frigates. While not as resilient as combat recon ships, they are nonetheless able to do their job as reconaissance vessels very effectively, due in no small part to their ability to interface with covert ops cloaking devices and set up cynosural fields for incoming capital ships. Developer: Duvolle Labs. Duvolle Labs manufactures sturdy ships with a good mix of offensive and defensive capabilities. Since the company is one of New Eden’s foremost manufacturers of particle blasters, its ships tend to favor turrets and thus have somewhat higher power output than normal.</t>
  </si>
  <si>
    <t>Navitas</t>
  </si>
  <si>
    <t>Occator (du latin occatos : poignant)</t>
  </si>
  <si>
    <t>163</t>
  </si>
  <si>
    <t>Mastodon</t>
  </si>
  <si>
    <t>Mammoth</t>
  </si>
  <si>
    <t>Destroyer Skill Bonus: 10% bonus to Small Projectile Turret tracking speed and 5% bonus to Small Projectile Turret damage per level. Penalty: -25% Rate Of Fire for all turrets. Bonus: 50% bonus to optimal range for small projectile turrets</t>
  </si>
  <si>
    <t>Sentinel</t>
  </si>
  <si>
    <t>Keres</t>
  </si>
  <si>
    <t>Hyena</t>
  </si>
  <si>
    <t>Bandwith</t>
  </si>
  <si>
    <t>Magnetic Infusion Basin</t>
  </si>
  <si>
    <t>Subsystem Skill Bonus : 10% bonus to afterburner speed per level.</t>
  </si>
  <si>
    <t>Gravitational Capacitor</t>
  </si>
  <si>
    <t>Subsystem Skill Bonus : 5% increased agility per level.</t>
  </si>
  <si>
    <t>Caldari Strategic Cruiser Skill Bonus : 5% Reduction in the amount of heat damage absorbed by modules per level.</t>
  </si>
  <si>
    <t>Gallente Strategic Cruiser Skill Bonus : 5% Reduction in the amount of heat damage absorbed by modules per level.</t>
  </si>
  <si>
    <t>Subsystem Skill Bonus : 5% bonus to all armor resistances per level. 10% bonus to remote armor repair system effectiveness per level</t>
  </si>
  <si>
    <t>Augmented Plating</t>
  </si>
  <si>
    <t>Subsystem Skill Bonus : 10% bonus to armor hitpoints per level.</t>
  </si>
  <si>
    <t>Subsystem Skill Bonus : 5% bonus to CPU per level</t>
  </si>
  <si>
    <t>Subsystem Skill Bonus : 10% bonus to warp disruptor and warp scrambler range per level.</t>
  </si>
  <si>
    <t>Friction Extension Processor</t>
  </si>
  <si>
    <t>Subsystem Skill Bonus : 5% bonus to drone MWD speed per level. 7.5% bonus to drone hitpoints per level.</t>
  </si>
  <si>
    <t>Dissonic Encoding Platform</t>
  </si>
  <si>
    <t>Drone Synthesis Projector</t>
  </si>
  <si>
    <t>Caldari Carrier Skill Bonuses : 50% bonus to Capital Shield and Energy transfer range per level. 5% bonus to all Shield resistances per level. 99% reduction in CPU need for Clone Vat Bay. 99% reduction in CPU need for Warfare Link modules. 99% reduction in CPU need for Projected Electronic Counter Measures modules. 99% reduction in CPU need for Tactical Logistics Reconfiguration modules. Can deploy 3 additional Fighters per level. Can fit 1 additional Warfare Link module per level. 200% bonus to Fighter control range. Immune to all forms of Electronic Warfare.</t>
  </si>
  <si>
    <t>Caldari Navy Hookbill</t>
  </si>
  <si>
    <t>Cruor</t>
  </si>
  <si>
    <t>Daredevil</t>
  </si>
  <si>
    <t>Dramiel</t>
  </si>
  <si>
    <t>Gallente Navy Comet</t>
  </si>
  <si>
    <t>Republic Fleet Firetail</t>
  </si>
  <si>
    <t>Succubus</t>
  </si>
  <si>
    <t>Worm</t>
  </si>
  <si>
    <t>Designed specifically as an armor augmenter, the Oneiros provides added defensive muscle to fighters on the front lines. Additionally, its own formidable defenses make it a tough nut to crack. Breaking through a formation supported by an Oneiros is no mean feat. Developer: Roden Shipyards. Deciding that added defensive capabilities would serve to strengthen the overall effectiveness of Gallente ships, who traditionally have favored pure firepower over other aspects, Roden Shipyards came up with the Oneiros. Intrigued, Gallente Navy officials are reportedly considering incorporating this powerful defender into their fleet formations.</t>
  </si>
  <si>
    <t>Oneiros (grec : rêve)</t>
  </si>
  <si>
    <t>063</t>
  </si>
  <si>
    <t>Scimitar</t>
  </si>
  <si>
    <t>Scythe</t>
  </si>
  <si>
    <t>Turret Concurrence Registry</t>
  </si>
  <si>
    <t>Subsystem Skill Bonus : 5% bonus to max velocity per level.</t>
  </si>
  <si>
    <t>Intercalated Nanofibers</t>
  </si>
  <si>
    <t>Vampire</t>
  </si>
  <si>
    <t>PG</t>
  </si>
  <si>
    <t>AR / Logistic</t>
  </si>
  <si>
    <t>Vitesse</t>
  </si>
  <si>
    <t>MWD / Signature</t>
  </si>
  <si>
    <t>SH / Logistic</t>
  </si>
  <si>
    <t>Warp</t>
  </si>
  <si>
    <t>Agilité</t>
  </si>
  <si>
    <t>AB / MWD</t>
  </si>
  <si>
    <t>Signature</t>
  </si>
  <si>
    <t>Projectiles</t>
  </si>
  <si>
    <t>Missiles / Projectiles</t>
  </si>
  <si>
    <t>Hybrides</t>
  </si>
  <si>
    <t>Lasers</t>
  </si>
  <si>
    <t>ECCM / Targeting</t>
  </si>
  <si>
    <t>Amarr Strategic Cruiser Skill Bonus: 5% Reduction in the amount of heat damage absorbed by modules per level.</t>
  </si>
  <si>
    <t>Gallente PVP Drone ship</t>
  </si>
  <si>
    <t>Caldari PVP Ewar ship</t>
  </si>
  <si>
    <t>Amarr PVP Gun ship</t>
  </si>
  <si>
    <t>Amarr Frigate Skill Bonus: 100% bonus to energy vampire and energy neutralizer transfer amount per level and 25% bonus to effectiveness of tracking disruptors. Electronic Attack Ships Skill Bonus: 40% bonus to energy vampire and energy neutralizer range and 5% reduction in capacitor recharge time per level</t>
  </si>
  <si>
    <t>Erebus (grec : fils du Chaos)</t>
  </si>
  <si>
    <t>007</t>
  </si>
  <si>
    <t>Ragnarok</t>
  </si>
  <si>
    <t>1000 H</t>
  </si>
  <si>
    <t>072</t>
  </si>
  <si>
    <t>Special Ability: 5% bonus to Tracking Disruptor effectiveness per skill level and 10% bonus to drone hitpoints, damage and mining yield per skill level.</t>
  </si>
  <si>
    <t>Special Ability: 5% bonus to Small Projectile Turret damage and 7,5% bonus to Small Projectile Turret tracking speed per skill level.</t>
  </si>
  <si>
    <t>[Prod.xls]Prod'!G59</t>
  </si>
  <si>
    <t>[Prod.xls]Prod'!G60</t>
  </si>
  <si>
    <t>[Prod.xls]Prod'!G62</t>
  </si>
  <si>
    <t>[Prod.xls]Prod'!G63</t>
  </si>
  <si>
    <t>[Prod.xls]Prod'!G64</t>
  </si>
  <si>
    <t>[Prod.xls]Prod'!G65</t>
  </si>
  <si>
    <t>[Prod.xls]Prod'!G66</t>
  </si>
  <si>
    <t>Arbitrator</t>
  </si>
  <si>
    <t xml:space="preserve">Special Ability: 10% bonus to Small Hybrid Turret falloff and 5% Small Hybrid Turret damage per skill level. </t>
  </si>
  <si>
    <t>133</t>
  </si>
  <si>
    <t>Faucon crécerelle</t>
  </si>
  <si>
    <t>130</t>
  </si>
  <si>
    <t xml:space="preserve">Special Ability: 5% bonus to shield resistances and 10% bonus to Small Hybrid Turret optimal range per skill level. </t>
  </si>
  <si>
    <t>Cronos (grec : roi des Titans, père des Olympiens)</t>
  </si>
  <si>
    <t>Traduction</t>
  </si>
  <si>
    <t xml:space="preserve">Named after a mythical beast renowned for its voraciousness, the Wolf is one of the most potentially destructive frigates currently in existence. While hardier than its brother the Jaguar it has less in the way of shield systems, and the capabilities of its onboard computer leave something to be desired. Nevertheless, the mere sight of a locked and loaded Wolf should be enough to make most pilots turn tail and flee. Developer: Boundless Creation. Boundless Creation's ships are based on the Brutor tribe's philosophy of warfare: simply fit as much firepower onto your ship as possible. Defense systems and electronics arrays therefore take a back seat to sheer annihilative potential. </t>
  </si>
  <si>
    <t>Loup</t>
  </si>
  <si>
    <t>104</t>
  </si>
  <si>
    <t>Inquisitor</t>
  </si>
  <si>
    <t>Stealth Bomber</t>
  </si>
  <si>
    <t>Comet</t>
  </si>
  <si>
    <t>The Merlin is the most powerful all-out combat frigate of the Caldari. It is highly valued for its versatility in using both missiles and turrets, while its defenses are exceptionally strong for a Caldari vessel</t>
  </si>
  <si>
    <t>Faucon emerillon</t>
  </si>
  <si>
    <t>CK-79</t>
  </si>
  <si>
    <t>131</t>
  </si>
  <si>
    <t>Hookbill</t>
  </si>
  <si>
    <t>The ancient Sleeper race was known to have mastered various sustainable energy technologies including thermoelectric systems, which they usually built directly into a vessel’s hull. Capsuleer reverse-engineers took little time to adapt salvaged versions of these Sleeper energy systems into their own modular Tech III vessel pieces. Thanks to widespread demand in the Caldari transport industry, fuel catalyst systems were one of the first to be developed. Making full use of locally generated thermoelectric power, they are able to supplement the fuel needs of an afterburner. This process makes it possible to inject fuel in larger amounts for the same capacitor cost, offering pilots a significant boost to the velocity increase from afterburners.</t>
  </si>
  <si>
    <t>This subsystem lowers the capacitor cost of warping and increases actual warp speed. With the influx of fullerene-based polymers and the discovery of Sleeper drone technology, the same fundamental principles once only sparingly employed in advance scout vessels such as Covert Ops and Interceptors could be re-applied to modular Tech III vessels. The Caldari are said to have been the first empire to benefit from reverse-engineering attempts aimed at producing these subsystems, something which the Gallente Federation’s own scientists flatly deny.</t>
  </si>
  <si>
    <t>Constructed from hard yet lightweight fullerene polymers, these intercalated fibers boost the agility of a starship without compromising its structural resilience. Even though basic nanofibers have existed for hundreds of years, the integration of various Sleeper-based salvage and other polymers takes the technology to a completely new level of modularity. This has allowed the same centuries-old technology to be ported over to the new Tech III paradigm.</t>
  </si>
  <si>
    <t>Dubbed the “interdiction nullifier” by the Guristas, who suffered its first introduction on the battlefield, this subsystem grants a startling and unprecedented capability; an immunity to non-targeted interdiction such as mobile warp disruptors and interdiction spheres. The origins of the first “nullifier” designs are shrouded in mystery, but the subsystem’s initial production of is thought to have taken place soon after the wormhole openings, and well before the technology became widespread knowledge. Not long after the first Tengu were designed, the Caldari Navy intercepted emergency transmissions from Guristas fleets across Venal, Tenal and Vale of the Silent. All of the reports made mention of Loki-class vessels slipping past defensive deployments and into core Guristas territory despite all efforts to stop the ships or slow them down. Following these reports, rumors spread that other groups began to discover and implement this extraordinary new technology, and yet of all the factions that leapt upon the opportunity, none were so eager or ruthless in their own race to capitalize as the independent capsuleer and pirate organizations that make the nullsec frontiers their home.</t>
  </si>
  <si>
    <t>Subsystem Skill Bonus : 15% bonus to warp speed and 15% reduction in capacitor need when initiating warp per level.</t>
  </si>
  <si>
    <t>This subsystem lowers the capacitor cost of warping and increases actual warp speed. With the influx of fullerene-based polymers and the discovery of Sleeper drone technology, the same fundamental principles once only sparingly employed in advance scout vessels such as Covert Ops and Interceptors could be re-applied to modular Tech III vessels. Although the Caldari claim to have been the first to successfully reverse-engineer these subsystems, the Federation argues that they were the first to deliver the breakthrough. Despite the contention, neither party seems keen to publicize the research data necessary to back their respective claims.</t>
  </si>
  <si>
    <t>Although this subsystem uses the same armor nano-assemblers as standard empire technology, various optimizations have been made. Taking full advantage of recently discovered Sleeper designs, the use of fullerene-based technology has allowed for the combination of far smaller and more resilient components.</t>
  </si>
  <si>
    <t>Capitalizing on the exceptional defensive capabilities of fullerene-based components, this subsystem allows a pilot to augment their Legion’s armor resistance, dramatically enhancing its survivability in combat. Tiny molecular-level conduits play a crucial role in orchestrating the flow of nano-assemblers beneath the armor’s surface, guarding the flow of vital repairs against disruptive impact.</t>
  </si>
  <si>
    <t>Making full use of recent scientific advances afforded by the discovery of ancient technologies, Caldari starship designers have reverse engineered the equipment behind the Sleeper’s metallofullerene armor plating. Through a complex substitution method, skilled engineers and physicists have been able to supplement a Tengu’s shields, offering increased survivability for a pilot under heavy fire.</t>
  </si>
  <si>
    <t>Subsystem Skill Bonus : 5% bonus to effectiveness of Siege Warfare Links per subsystem skill level. Role Bonus : 99% reduction in Warfare Link module CPU need.</t>
  </si>
  <si>
    <t>Based on the same advanced technology employed by Sleeper drones to harden their armor plating, these tiny nano-assemblers have been reconfigured to improve a shield’s resistance to damage. The influx of superior construction materials and the modularity of Sleeper components have made even this drastic redesign into a fairly simple process.</t>
  </si>
  <si>
    <t>Minmatar Frigate Skill Bonus: 5% bonus to maximum velocity and 5% bonus to Small Projectile Turret tracking speed per level</t>
  </si>
  <si>
    <t>The Covetor is the largest craft in a ship class designed by the ORE Syndicate to facilitate the advancement of the mining profession to a new level. Mining barges are equipped with electronic subsystems specifically designed to accommodate Strip Mining modules. Coupled with a sizable cargo hold and a goodly drone bay, this makes them extremely efficient ore extraction vessels</t>
  </si>
  <si>
    <t>Convoiteur</t>
  </si>
  <si>
    <t>Rifter</t>
  </si>
  <si>
    <t>[Prod.xls]Prod'!G89</t>
  </si>
  <si>
    <t>Battlecruiser Skill Bonus: 50% reduction in Medium Energy Turret capacitor use and 25% bonus to all armor resistances. Command Ships Skill Bonus: 5% bonus to Medium Energy Turret damage and 5% bonus to Medium Energy Turret rate of fire per level. Role Bonus: 99% reduction in Warfare Link module CPU need</t>
  </si>
  <si>
    <t>The Probe is large compared to most Minmatar frigates and is considered a good scout and cargo-runner. Uncharacteristically for a Minmatar ship, its hard outer coating makes it difficult to destroy, while the limited weapon hardpoints force it to rely on fighter assistance if engaged in combat.</t>
  </si>
  <si>
    <t>Sonde</t>
  </si>
  <si>
    <t>140</t>
  </si>
  <si>
    <t>Subsystem Skill Bonus : 5% bonus to kinetic missile damage, 7.5% bonus to Heavy, Heavy Assault and Assault missile launcher rate of fire and 10% bonus to heavy missile and heavy assault missile velocity per level.</t>
  </si>
  <si>
    <t>This missile launcher system was formed not from the missile bays of Sleeper drones, but from the direct-fire turrets and hardpoints salvaged from them instead. Adapting the underlying technology behind the drones' rapid-firing turrets for their own missile systems, Caldari engineers have managed to revolutionize modular launching mechanisms, improving launch speed and kinetic warhead payloads.</t>
  </si>
  <si>
    <t>Subsystem Skill Bonus : 5% bonus to medium hybrid turret damage per level. Role Bonus : 100% reduction in Cloaking Device CPU use.</t>
  </si>
  <si>
    <t>From the moment Strategic Cruisers became a reality, there were whispers amongst the scientific community about the potential for advances in cloaking technology. They remained that alone for the longest time, with few involved in the reverse engineering process willing to share any news of their discoveries. Everyone knew that, should the technology ever become a reality, the capabilities of the new Strategic Cruisers would change overnight. When some of the State's first cloaking subsystems were unveiled at a secure Caldari military complex, those select few spectators did not understand for a moment, the reason behind the comparatively underwhelming offense. When the first Tengu broke from its attack and vanished in front of hundreds of onlookers – not only from the field of battle, but from the system itself – the reasons behind a conservative weapons design suddenly became clear.</t>
  </si>
  <si>
    <t>This subsystem serves as a specialized storage bin for a ship's hybrid ammo. The basin, however, also serves as a cyclotron, infusing the ammo with magnetic energy immediately before it is injected into the turret. The amplified ammo has an increased range and damage potential.</t>
  </si>
  <si>
    <t>Ewar ECM / Missiles</t>
  </si>
  <si>
    <t>The Revelation represents the pinnacle of Amarrian military technology. Maintaining their proud tradition of producing the strongest armor plating to be found anywhere, the Empire's engineers outdid themselves in creating what is arguably the most resilient dreadnought in existence. Added to that, the Revelation's ability to fire capital beams makes its position on the battlefield a unique one. When extended sieges are the order of the day, this is the ship you call in.</t>
  </si>
  <si>
    <t>Révélation</t>
  </si>
  <si>
    <t>017</t>
  </si>
  <si>
    <t>Phoenix</t>
  </si>
  <si>
    <t>Interceptors utilize a combination of advanced alloys and electronics to reduce their effective signature radius. This, along with superior maneuverability and speed, makes them very hard to target and track, particularly for high caliber turrets. Developer: Boundless Creation. The Boundless Creation ships are based on the Brutor tribe's philosophy of warfare: simply fit as much firepower onto your ship as humanly possible. On the other hand, defense systems and "cheap tricks" like electronic warfare have never been a high priority.</t>
  </si>
  <si>
    <t>Griffe</t>
  </si>
  <si>
    <t>119</t>
  </si>
  <si>
    <t>[Prod.xls]Prod II'!G84</t>
  </si>
  <si>
    <t>[Prod.xls]Prod'!G113</t>
  </si>
  <si>
    <t>[Prod.xls]Prod'!G114</t>
  </si>
  <si>
    <t>[Prod.xls]Prod'!G115</t>
  </si>
  <si>
    <t>[Prod.xls]Prod'!G116</t>
  </si>
  <si>
    <t>[Prod.xls]Prod'!G117</t>
  </si>
  <si>
    <t>[Prod.xls]Prod'!G77</t>
  </si>
  <si>
    <t>[Prod.xls]Prod'!G78</t>
  </si>
  <si>
    <t>[Prod.xls]Prod'!G79</t>
  </si>
  <si>
    <t>The Succubus is one of the most feared frigates ever to harrow the spacelanes and asteroid belts of civilized space, and with good reason: tales abound of its superiority over ships twice or three times its size. Whether you believe this to be fact or rumor, the Succubus will still strike fear in your heart.</t>
  </si>
  <si>
    <t>[Prod.xls]Prod II'!G86</t>
  </si>
  <si>
    <t>[Prod.xls]Prod II'!G87</t>
  </si>
  <si>
    <t>[Prod.xls]Prod'!G127</t>
  </si>
  <si>
    <t>[Prod.xls]Prod'!G126</t>
  </si>
  <si>
    <t>[Prod.xls]Prod'!G125</t>
  </si>
  <si>
    <t>[Prod.xls]Prod II'!G55</t>
  </si>
  <si>
    <t>[Prod.xls]Prod II'!G58</t>
  </si>
  <si>
    <t>[Prod.xls]Prod II'!G60</t>
  </si>
  <si>
    <t>[Prod.xls]Prod II'!G61</t>
  </si>
  <si>
    <t>[Prod.xls]Prod II'!G64</t>
  </si>
  <si>
    <t>[Prod.xls]Prod II'!G65</t>
  </si>
  <si>
    <t>[Prod.xls]Prod II'!G66</t>
  </si>
  <si>
    <t>[Prod.xls]Prod II'!G67</t>
  </si>
  <si>
    <t>Machariel</t>
  </si>
  <si>
    <t>Astarté (phénicien : déesse de l'amour et de la fécondité, protectrice des souverains)</t>
  </si>
  <si>
    <t>041</t>
  </si>
  <si>
    <t>Eos</t>
  </si>
  <si>
    <t>Assault/Missile boat</t>
  </si>
  <si>
    <t>Assault/Missile boat/Recon</t>
  </si>
  <si>
    <t>Many engineers have attempted to reproduce the precision of the Sleeper drones' weapon systems, but with very few results. The closest reproduction achieved thus far is this targeting network, a complex system of neurovisual interlays, automated trigger response units, and microscanning resolution ordinances. The combination of these processes produces a bonus to scan resolution, easing the targeting of enemies in space, as well as to signature radii, making the ship itself more difficult to target.</t>
  </si>
  <si>
    <t>New technologies have resulted in a noticeable increase in CPU efficiency, as better nanotech enables further miniaturization of circuits, the result of which is a marked decrease in system bottlenecking. This CPU efficiency gate capitalizes on that technology, offering a pilot greater CPU output.</t>
  </si>
  <si>
    <t>Subsystem Skill Bonus: 15% bonus to ship sensor strength and 5% bonus to targeting range per level.</t>
  </si>
  <si>
    <t>This subsystem operates using the same fundamental mechanics as the signal distortion amplifier. When installed into a Tech III vessel, the fullerene-based components resonate with any ECM modules fitted , bolstering their disruptive strength.</t>
  </si>
  <si>
    <t>The friction extension processor capitalizes on recent advances made in fullerene-based component development. The system works on a similar design to interdiction spheres by expanding a ship's warp interdiction range. The technology behind it has existed in theory for some years, dating back to when engineers first began development of Heavy Interdictors. They noticed an increased efficiency in the electronic disruption of fullerene molecules when combined with the static disruption energies of the spheres. When more fullerene-based materials suddenly became available, it was only a matter of further testing before theory became reality.</t>
  </si>
  <si>
    <t>Ewar ECM</t>
  </si>
  <si>
    <t>Ewar Web</t>
  </si>
  <si>
    <t>Even millennia old, the technology employed by Sleeper drones is far from lacking. This is particularly true in the field of interdiction technology, where their capabilities often exceed contemporary systems. Consequently, this aspect of their fearsome arsenal has been the focus of much study and in some rare cases, the starting point for scientific breakthroughs. Minmatar researchers studied the long-range webification systems of the Sleeper drones from the moment they were discovered, quickly reverse engineering a subsystem for their Loki that could replicate the Sleeper’s own offensive modules. The end result is a noticeable amplification of a stasis webifier’s effective range.</t>
  </si>
  <si>
    <t>Another example of an old technology re-worked to fit the new Tech III paradigm, augmented capacitor subsystems improve upon the size of a vessel’s capacitor. Designers of Tech III vessels were initially hampered by the problem of how to design a modular ship that could swap out basic engineering upgrades on a per-need basis. This proved particularly true when it came to increasing a vessel’s capacitor size without the use of batteries. In the end, the provision of fullerene-based polymers allowed for solutions that had only existed in theory up until that point.</t>
  </si>
  <si>
    <t>Using the same technology that can be found inside the ancient Sleeper race’s guardian drones, this regeneration matrix greatly improves the recharge rate of a Tech III vessel’s capacitor. Even though empire-based designs have achieved this effect for centuries, the way in which this system works is markedly different. Rather than the usual tweaking of capacitor fluid formulas, this design simply triples the number of nanotubes inside – something not possible until the recent influx of fullerene polymers from which this subsystem is made. This results in a drastic increase in the speed and efficiency of energy flow throughout a ship. The quicker that the surplus power can be redirected back to the core, the more that it can contribute to the overall recharge rate of the capacitor.</t>
  </si>
  <si>
    <t>Comprised of countless nanomachines that enhance the energy flow from a ship’s reactor core, this engineering subsystem offers a pilot the option of increasing the power grid of their vessel. Although the empires mastered energy grid upgrades many centuries ago, the adaptation of old designs to the new Tech III paradigm has been a more recent breakthrough.</t>
  </si>
  <si>
    <t>Heat</t>
  </si>
  <si>
    <t xml:space="preserve">Subsystem Skill Bonus : 5% Reduction in the amount of heat damage absorbed by modules per level. </t>
  </si>
  <si>
    <t>Revelation burrows through the material world, devours creation’s soil, digests the thoughtless void, and produces significance with God’s grace. From emptiness comes meaning, essence from existence, soul from matter. Is God through the wormhole? Did God grant us this boon, this new technology, a revelation from on high? These weapons are God's new prophecy, domain, and blessing. Let us use God's grace and prepare New Eden. We are God’s soldiers, weapons, glory. Our people are God’s army. Together, we are the legion. -The Heresies of Hinketsu.</t>
  </si>
  <si>
    <t>Navette</t>
  </si>
  <si>
    <t>Defensive</t>
  </si>
  <si>
    <t>Electronic</t>
  </si>
  <si>
    <t>Offensive</t>
  </si>
  <si>
    <t>Propulsion</t>
  </si>
  <si>
    <t>Built to represent the last word in electronic warfare, combat recon ships have onboard facilities designed to maximize the effectiveness of electronic countermeasure modules of all kinds. Filling a role next to their class counterpart, the heavy assault ship, combat recon ships are the state of the art when it comes to anti-support support. They are also devastating adversaries in smaller skirmishes, possessing strong defensive capabilities in addition to their electronic superiority. Developer: Roden Shipyards. Unlike most Gallente ship manufacturers, Roden Shipyards tend to favor missiles over drones and their ships generally possess stronger armor. Their electronics capacity, however, tends to be weaker than that of their competitors’.</t>
  </si>
  <si>
    <t>Lachésis (grec : une des 3 Moires)</t>
  </si>
  <si>
    <t>070</t>
  </si>
  <si>
    <t>Huginn</t>
  </si>
  <si>
    <t>Bellicose</t>
  </si>
  <si>
    <t>The Hulk is the largest craft in the second generation of mining vessels created by the ORE Syndicate. Exhumers, like their mining barge cousins, are equipped with electronic subsystems specifically designed to accommodate Strip Mining modules. They are also far more resilient, better able to handle the dangers of deep space. The Hulk is, bar none, the most efficient mining vessel in the world today.</t>
  </si>
  <si>
    <t>Lourdaud</t>
  </si>
  <si>
    <t>181</t>
  </si>
  <si>
    <t>Retriever</t>
  </si>
  <si>
    <t>[Prod.xls]Prod II'!G85</t>
  </si>
  <si>
    <t>Black Ops battleships are designed for infiltration and espionage behind enemy lines. With the use of a short-range jump drive and a portal generator, they are capable of making a special type of jump portal usable only by covert ops vessels. This enables them to stealthily plant reconnaissance and espionage forces in enemy territory. For the final word in clandestine maneuvers, look no further. The Thukkers generally favor speed and offensive power over defensive capability. While many of them could be said to lack technological innovation, Thukker Mix vessels are invariably the swiftest and most agile of their kind.</t>
  </si>
  <si>
    <t>RADAR</t>
  </si>
  <si>
    <t>Gravimetric</t>
  </si>
  <si>
    <t>The Hoarder is the second in line of the Minmatar industrial ships, it's not as strong as the Mammoth but its cargo space is very large for its price. It's perfect for operation in peaceful areas or when it has strong escort</t>
  </si>
  <si>
    <t>Amasseur / Accumulateur</t>
  </si>
  <si>
    <t>178</t>
  </si>
  <si>
    <t>Special Ability: 15% bonus to ECM Target Jammer strength and 20% bonus to ECM Target Jammer optimal range per skill level.</t>
  </si>
  <si>
    <t>Minmatar Battleship Skill Bonus: 25% bonus to large projectile turret rate of fire and 25% bonus to large projectile turret damage. Black Ops Skill Bonus: 5% bonus to velocity and multiplies the cloaked velocity by 125% per level. Note: can fit covert cynosural field generators and covert jump portal generators. No targeting delay after decloaking.</t>
  </si>
  <si>
    <t>Special Ability: 100% bonus to Small Energy Turret damage. Amarr Frigate Skill Bonus: 5% bonus to Small Energy Turret tracking per level. Caldari Frigate Skill Bonus: 5% bonus to Small Energy Turret damage per level.</t>
  </si>
  <si>
    <t>Titan</t>
  </si>
  <si>
    <t>Punisher</t>
  </si>
  <si>
    <t>The Exequror Navy Issue was commissioned by Federation Navy High Command in response to the proliferation of close-range blaster vessels on the modern stellar battlefield. While it doesn't boast the speed of some of its class counterparts, this up-close-and-personal gunboat nonetheless possesses some of the more advanced hybrid plasma-coil compression subsystems available, making it a lethal adversary in any upfront engagement.</t>
  </si>
  <si>
    <t xml:space="preserve">Dubbed the “interdiction nullifier” by the Guristas, who suffered its first introduction on the battlefield, this subsystem grants a startling and unprecedented capability; an immunity to non-targeted interdiction such as mobile warp disruptors and interdiction spheres. The origins of the first “nullifier” designs are shrouded in mystery, but the subsystem’s initial production of is thought to have taken place soon after the wormhole openings, and well before the technology became widespread knowledge. Not long after the first Tengu were designed, the Caldari Navy intercepted emergency transmissions from Guristas fleets across Venal, Tenal and Vale of the Silent. All of the reports made mention of Loki-class vessels slipping past defensive deployments and into core Guristas territory despite all efforts to stop the ships or slow them down. Following these reports, rumors spread that other groups began to discover and implement this extraordinary new technology, and yet of all the factions that leapt upon the opportunity, none were so eager or ruthless in their own race to capitalize as the independent capsuleer and pirate organizations that make the nullsec frontiers their home. </t>
  </si>
  <si>
    <t>Agilité / Warp</t>
  </si>
  <si>
    <t xml:space="preserve">This subsystem limits the wake left behind by a starship’s microwarpdrive, allowing a pilot to maintain a lowered signature radius while still moving at high speed. The underlying design is based on the same technology used by smaller Sleeper drones and empire-produced Interceptors. Although the engineering processes behind wake limiters have existed for quite some time in the empires, their application in modular subsystems has only become a possibility after fullerene polymers became more widely available. </t>
  </si>
  <si>
    <t>Built to represent the last word in electronic warfare, combat recon ships have onboard facilities designed to maximize the effectiveness of electronic countermeasure modules of all kinds. Filling a role next to their class counterpart, the heavy assault ship, combat recon ships are the state of the art when it comes to anti-support support. They are also devastating adversaries in smaller skirmishes, possessing strong defensive capabilities in addition to their electronic superiority. Developer: Kaalakiota. As befits one of the largest weapons manufacturers in the known world, Kaalakiota's ships are very combat focused. Favoring the traditional Caldari combat strategy, they are designed around a substantial number of weapons systems, especially missile launchers. However, they have rather weak armor and structure, relying more on shields for protection.</t>
  </si>
  <si>
    <t>Corneille</t>
  </si>
  <si>
    <t>068</t>
  </si>
  <si>
    <t>Arazu</t>
  </si>
  <si>
    <t>Celestis</t>
  </si>
  <si>
    <t xml:space="preserve">Gallente Cruiser Skill Bonus: 25% bonus to Medium Hybrid Turret damage and 25% bonus to Remote Sensor Dampener effectiveness. Recon Ships Skill Bonus: 20% bonus to warp disruptor range and -92% to -100% reduction in Cloaking Device CPU use per level. Note: 200-unit reduction in liquid ozone consumption for cynosural field generation. </t>
  </si>
  <si>
    <t>Hound</t>
  </si>
  <si>
    <t>Breacher</t>
  </si>
  <si>
    <t xml:space="preserve">When it came to overheating modules on Tech III vessels, the spaceship engineering industry always knew, or at the very least suspected, that a larger breakthrough was on its way. Those first small advances made by reverse-engineering ancient Sleeper hulls were seen by many as simply the beginning of something greater. For these and other reasons, few were surprised by the introduction of a subsystem focused purely on pushing the “heat” envelope. Various designs surfaced in the weeks and months following the opening of the new wormholes, each offering increasingly smaller improvements on the last. Research seemed to stagnate for a while and it was not until the idea of additional, localized coolant injectors became widespread that heat-focused subsystems truly began to perform in a class of their own. The current iterations offer pilots truly unprecedented abilities when it comes to overheating and pushing modules to their limits. Military experts and even capsuleers alike have been left wondering just how drastically this new design, along with so many other radical new entries to the subsystems field, will reshape interstellar warfare. </t>
  </si>
  <si>
    <t>Sleeper drones, while completely devoid of modern shielding technology, are nonetheless sturdy, mainly due to their metallofullerene armor plating and hull composition. When drones are docked into this system, the projection system enhances their damage capabilities, both in absorbing and delivering damage, through the creation of a fullerene-based field around the drones.</t>
  </si>
  <si>
    <t>Assault Optimization</t>
  </si>
  <si>
    <t>Originally a laser-based weapons system, Amarrian starship engineers were forced to seek alternative construction methods when several fatal flaws were discovered in their design. Khanid Innovations was quick to offer a missile-based solution that benefitted greatly from their years of experience working on Sacrilege cruisers. The reapplication of their previously successful technology was so fast and effective that the more traditional Amarrian engineers could do little but watch as the knowledge and consequent implementation of these new engineering methodologies proliferated across the cluster.</t>
  </si>
  <si>
    <t>Subsystem Skill Bonus : 10% bonus to medium energy turret capacitor use, 10% bonus to drone damage and 7.5% bonus to drone hitpoints per level.</t>
  </si>
  <si>
    <t>Subsystem Skill Bonus : 5% bonus to heavy assault missile damage and 5% bonus to missile launcher rate of fire per level.</t>
  </si>
  <si>
    <t>Subsystem Skill Bonus : 10% bonus to medium energy turret capacitor use per level. Role Bonus : 100% reduction in Cloaking Device CPU.</t>
  </si>
  <si>
    <t>From the moment Strategic Cruisers became a reality, there were whispers amongst the scientific community about the potential for advances in cloaking technology. They remained that alone for the longest time, with few involved in the reverse-engineering process willing to share any news of their discoveries. Everyone knew that, should the technology ever become a reality, the capabilities of the new Strategic Cruisers would change overnight. The Amarrians are suspected to have developed cloaking technology for the Legion around the same time as the first capsuleer designs began to surface. For almost a full week, Minmatar rebel camps deep inside Heimatar and Metropolis were subjected to ruthless guerilla attacks, almost unprecedented in their ferocity and viciousness. Although initially confused by such a marked changed in their opponent’s warfare philosophy, the Matari knew that each target had been a high profile objective for the Amarr Navy, and noted with deep suspicion how all of the squads had been spearheaded by Legions that could hit and fade with alarming ease. Few doubted who was behind the bloodshed. The Amarrians remained silent for the most part, the only official statement; that God’s will had manifested itself in the heart of evil.</t>
  </si>
  <si>
    <t>creation of more efficient liquid crystal lenses. Amarr researchers have engineered these lenses to increase a laser's focus for longer stretches, both in distance and in timing, allowing a laser to reach farther targets with more efficiency of energy output. Additionally, the fullerene-infused lenses can generate higher temperatures and stronger, more damaging beams and pulses.</t>
  </si>
  <si>
    <t>Subsystem Skill Bonus : 10% bonus to medium energy turret capacitor use, 5% bonus to medium energy turret damage and 5% bonus to medium energy turret optimal range per level.</t>
  </si>
  <si>
    <t>Gallente Frigate Skill Bonus: 25% bonus to Small Hybrid Turret damage and 37,5% bonus to Small Hybrid Turret tracking speed. Interceptor Skill Bonus: 15% reduction in MicroWarpdrive signature radius penalty and 5% bonus to Warp Scrambler and Warp Disruptor range per level. Role bonus: 80% reduction in Propulsion Jamming systems activation cost.</t>
  </si>
  <si>
    <t>Battlecruiser Skill Bonus: 25% bonus to Medium Projectile Turret rate of fire and 37.5% bonus to Shield Booster effectiveness. Command Ships Skill Bonus: 7,5% bonus to Medium Projectile Turret tracking speed and 3% bonus to effectiveness of Skirmish Warfare Links per level. Role Bonus: 99% reduction in Warfare Link module CPU need. Can use 3 Warfare Link modules simultaneously.</t>
  </si>
  <si>
    <t>Nidhoggur</t>
  </si>
  <si>
    <t>The Celestis cruiser is a versatile ship which can be employed in a myriad of roles, making it handy for small corporations with a limited number of ships. True to Gallente style the Celestis is especially deadly in close quarters combat due to its advanced targeting systems.</t>
  </si>
  <si>
    <t>Celeste (du latin caelestis : paradisiaque)</t>
  </si>
  <si>
    <t>081</t>
  </si>
  <si>
    <t>From the moment Strategic Cruisers became a reality, there were whispers amongst the scientific community about the potential for advances in cloaking technology. They remained that alone for the longest time, with few involved in the reverse engineering process willing to share any news of their discoveries. Everyone knew that, should the technology ever become a reality, the capabilities of the new Strategic Cruisers would change overnight. To many Gallente and Caldari, the development of the Proteus covert reconfiguration signaled a repeat of the technological arms race that arose from the ashes of Crielere. Once again seeking a balance of power, and entirely convinced that the Caldari were attempting to reverse-engineer their own cloak-capable Strategic Cruisers, the Federation diverted immense resources to their research. Private firms and the largest of conglomerates all played a role in development, offering up prototype designs and speculative theories that collectively resulted in some of the first Covert-Capable Proteus produced. It is not known who, or what organization led the project. Nor is known when, or where, the first Covert Reconfigurations were deployed. If it had not been for capsuleers developing the same designs, most people would have remained oblivious to their existence, just the way the Federation would have preferred.</t>
  </si>
  <si>
    <t>Subsystem Skill Bonus : 10% bonus to medium hybrid turret damage, 10% bonus to medium hybrid turret falloff and 7.5% bonus to medium hybrid turret tracking per level.</t>
  </si>
  <si>
    <t>A unique application of fullerene material can be found in this platform, where vibrations from the metallic plating transfer from turret to hybrid charge. Discharged ammo immersed in this dissonic frequency maintains its shape and velocity pattern once launched towards a target. However, upon impact, the ammo undulates in an unstable fashion, transfering the frequency to its target and thereby causing more damage.</t>
  </si>
  <si>
    <t>Emboldened by the development of other, more specialized subsystems, engineers and astrophysicists alike began to investigate modifications to a Strategic Cruiser that could aid their fellow scientists and explorers. The first reverse-engineering projects were predominantly focused on ways to improve a vessel’s astrometrics capabilities. The two-pronged solution of boosting both the strength of the launchers and the probes they deployed proved to be the most popular design in the end. It was not long after the first designs were sold that others took notice and began to reverse-engineer their own. Soon enough, the subsystem was catapulted into mainstream Tech III subsystem manufacture, although perhaps for more than just that one reason. The first designers of the emergent locus analyzer noted an additional – and entirely unintended – effect in tractor beams. Not only did they reach further, but they would also pull in their cargo more quickly than normal tractor beams. It was an unexpected by-product of the processes that increased scan probe strength, but far from an undesirable one. Although it is not fully clear what part of the construction process enables this additional benefit, so long as the subsystem is built in that exact fashion, it will continue to provide it.</t>
  </si>
  <si>
    <t>During some of the first conflicts with them, Amarr engineers noticed a remarkable feature in Sleeper drone technology: the ability of drones to transfer power between one another without the need for specialized equipment. This technology seemed to be innate to every drone in some capacity, and while the engineers could not reproduce this system in modern space vessels, they were able to adapt the technology into modular Tech III designs. The energy parasitic complex turns the Sleeper tech on its head, changing the energy transfer from a symbiotic function to a vampiric one by providing a boost to energy neutralizer and energy vampire equipment.</t>
  </si>
  <si>
    <t>Subsystem Skill Bonus : 15% bonus to scan resolution per level.</t>
  </si>
  <si>
    <t>Command/Missile boat</t>
  </si>
  <si>
    <t>Interdictor/Missile boat</t>
  </si>
  <si>
    <t>Assault/Command/Drone boat</t>
  </si>
  <si>
    <t>Assault/Command</t>
  </si>
  <si>
    <t>Assault/Command/Missile boat</t>
  </si>
  <si>
    <t>Capital/Siege/Drone boat</t>
  </si>
  <si>
    <t>Ewar/Missile boat</t>
  </si>
  <si>
    <t>Interceptor/Missile boat</t>
  </si>
  <si>
    <t>Command/Missile boat/Super Capital</t>
  </si>
  <si>
    <t>Capital/Siege/Missile boat</t>
  </si>
  <si>
    <t>Ewar/Missile boat/Recon</t>
  </si>
  <si>
    <r>
      <t>Recon</t>
    </r>
    <r>
      <rPr>
        <sz val="10"/>
        <color indexed="22"/>
        <rFont val="Arial"/>
        <family val="2"/>
      </rPr>
      <t>/Missile boat</t>
    </r>
  </si>
  <si>
    <r>
      <t>Assault</t>
    </r>
    <r>
      <rPr>
        <sz val="10"/>
        <color indexed="22"/>
        <rFont val="Arial"/>
        <family val="2"/>
      </rPr>
      <t>/Missile boat</t>
    </r>
  </si>
  <si>
    <r>
      <t>Ewar</t>
    </r>
    <r>
      <rPr>
        <sz val="10"/>
        <color indexed="22"/>
        <rFont val="Arial"/>
        <family val="2"/>
      </rPr>
      <t>/Missile boat</t>
    </r>
  </si>
  <si>
    <r>
      <t>Interdictor</t>
    </r>
    <r>
      <rPr>
        <sz val="10"/>
        <color indexed="22"/>
        <rFont val="Arial"/>
        <family val="2"/>
      </rPr>
      <t>/Missile boat</t>
    </r>
  </si>
  <si>
    <t>Command/Drone boat</t>
  </si>
  <si>
    <t>Recon/Drone boat</t>
  </si>
  <si>
    <t>Adaptation and innovation go hand-in-hand, and this subsystem is a prime example of both ideas. While researching Sleeper drone weapon systems, a group of Minmatar engineers discovered special similarities to the technology behind all Sleeper weapon types. Distilling the underlying mechanic to its essence produced this hardpoint configuration, which enabled projectile weapons and missile launchers to share power sources and energy supplies (most of which were advanced beyond modern standards). This offers a vast increase to the rate of fire of both weapon types. Attempts to merge this technology to other weapon groups have, as yet, proven unsuccessful.</t>
  </si>
  <si>
    <t>Scoping arrays were mostly out of fashion in recent ship design, but Sleeper technology has brought them somewhat back into vogue. Based upon the remarkable flexibility fullerene-based technology, Sleeper-based scoping arrays allowed projectile weaponry to produce longer-ranged accuracy without reducing the weapon's rate-of-fire. While a resurgence of scoping arrays is not expected, this subsystem certainly shows its uses in modern warfare.</t>
  </si>
  <si>
    <t>Subsystem Skill Bonus : 10% bonus to medium projectile turret damage, 10% bonus to medium projectile turret optimal range and 7.5% bonus to medium projectile turret tracking per level.</t>
  </si>
  <si>
    <t>Increasing the firing rate of projectile weaponry is no easy task, yet the introduction of Sleeper technology has made this job more achievable. This registry is based on the idea of concurrence, where firing mechanisms can recycle energy among multiple turret emissions. This recycled energy is not only sustainable, but more powerful as well, a marvel considering its relatively normal power output (in comparison with other turret systems). Thus, not only are projectile turrets discharged at a higher rate and with more damage potential, but no extra energy is required.</t>
  </si>
  <si>
    <t>Subsystem Skill Bonus : 7.5% bonus to medium projectile turret rate of fire and 10% bonus to medium projectile falloff per level.</t>
  </si>
  <si>
    <t>Subsystem Skill Bonus : 7.5% bonus to medium projectile turret rate of fire pand 7.5% bonus to missile launcher rate of fire per level.</t>
  </si>
  <si>
    <t>Subsystem Skill Bonus : 10% bonus to medium hybrid turret damage and 10% bonus to medium hybrid turret falloff per level.</t>
  </si>
  <si>
    <t>Subsystem Skill Bonus : 10% bonus to ECM target jammer strength and 5% bonus to Heavy, Heavy Assault and Assault Missile Launcher Rate of Fire per level.</t>
  </si>
  <si>
    <t>Subsystem Skill Bonus : 5% bonus to medium hybrid turret damage and 20% bonus to medium hybrid turret optimal range per level.</t>
  </si>
  <si>
    <t>This subsystem exploits the latest technological advances afforded by discovery of the ancient Sleeper race’s own designs. Optimizations made to the chassis allow for vast improvements to be made to a Legion’s base velocity. Although the various layout optimizations sacrifice other options for propulsion customization, the flow-on effects from an increase in base velocity make it an attractive upgrade for those whose Tech III vessels are in need of an overall speed increase.</t>
  </si>
  <si>
    <t xml:space="preserve">The ancient Sleeper race was known to have mastered various sustainable energy technologies including thermoelectric systems, which they usually built directly into a vessel’s hull. Capsuleer reverse-engineers took little time to adapt salvaged versions of these Sleeper energy systems into their own modular Tech III vessel pieces. Thanks to widespread demand in the Amarrian transport industry, fuel catalyst systems were one of the first to be developed for the Empire. Making full use of locally generated thermoelectric power, they are able to supplement the fuel needs of an afterburner. This process makes it possible to inject fuel in larger amounts for the same capacitor cost, offering pilots a significant boost to the velocity increase from afterburners. </t>
  </si>
  <si>
    <t>Subsystem Skill Bonus : 5% increased agility per level. Role Bonus : Immunity to non-targeted interdiction.</t>
  </si>
  <si>
    <t>Essentially a pared-down version of its big brother the Hel, the Nidhoggur nonetheless displays the same austerity of vision evident in its sibling. Quite purposefully created for nothing less than all-out warfare, and quite comfortable with that fact, the Nidhoggur will no doubt find itself a mainstay on many a battlefield.</t>
  </si>
  <si>
    <t>016</t>
  </si>
  <si>
    <t>Revelation</t>
  </si>
  <si>
    <t>Dreadnought</t>
  </si>
  <si>
    <t>Capital/Siege</t>
  </si>
  <si>
    <t>The Tempest is one of the Republic Fleet's key vessels; a versatile gunship proficient at long-range bombardment and capable of dishing out specialized types of damage with great effectiveness. A well-rounded squadron of Tempests has been proven time and time again to be an invaluable wild card in a fleet battle, one which opponents should ignore at their own peril.</t>
  </si>
  <si>
    <t>Tempête</t>
  </si>
  <si>
    <t>035</t>
  </si>
  <si>
    <t>When it came to overheating modules on Tech III vessels, the spaceship engineering industry always knew, or at the very least suspected, that a larger breakthrough was on its way. Those first small advances made by reverse-engineering ancient Sleeper hulls were seen by many as simply the beginning of something greater. For these and other reasons, few were surprised by the introduction of a subsystem focused purely on pushing the “heat” envelope. Various designs surfaced in the weeks and months following the opening of the new wormholes, each offering increasingly smaller improvements on the last. Research seemed to stagnate for a while and it was not until the idea of additional, localized coolant injectors became widespread that heat-focused subsystems truly began to perform in a class of their own. The current iterations offer pilots truly unprecedented abilities when it comes to overheating and pushing modules to their limits. Military experts and even capsuleers alike have been left wondering just how drastically this new design, along with so many other radical new entries to the subsystems field, will reshape interstellar warfare.</t>
  </si>
  <si>
    <t xml:space="preserve">Another example of an old technology re-worked to fit the new Tech III paradigm, augmented capacitor subsystems improve upon the size of a vessel’s capacitor. Designers of Tech III vessels were initially hampered by the problem of how to design a modular ship that could swap out basic engineering upgrades on a per-need basis. This proved particularly true when it came to increasing a vessel’s capacitor size without the use of batteries. In the end, the provision of fullerene-based polymers allowed for solutions that had only existed in theory up until that point. </t>
  </si>
  <si>
    <t>Cap.</t>
  </si>
  <si>
    <t>Imicus (latin : Adversaire)</t>
  </si>
  <si>
    <t>Apollyon le destructeur (grec : chef des démons de la septième hiérarchie)</t>
  </si>
  <si>
    <t xml:space="preserve">Interceptors utilize a combination of advanced alloys and electronics to reduce their effective signature radius. This, along with superior maneuverability and speed, makes them very hard to target and track, particularly for high caliber turrets. Developer: Carthum Conglomerate. Carthum ships are the very embodiment of the Amarrian warfare philosophy. Possessing sturdy armor and advanced weapon systems, they provide a nice mix of offense and defense. On the other hand, their electronic and shield systems tend to be rather limited. </t>
  </si>
  <si>
    <t>113</t>
  </si>
  <si>
    <t>Malediction</t>
  </si>
  <si>
    <t>Kronos</t>
  </si>
  <si>
    <t>Heavy Interdictor</t>
  </si>
  <si>
    <t>Ewar/Interceptor</t>
  </si>
  <si>
    <t>The Iteron-class cargo tugger is fast and reliable and there are many versions of it. It is equally popular among civilians and militaries alike as it's cheap and can be fitted in myriad different ways, allowing it to be used to freight almost anything. It is, however, quite vulnerable and needs to be protected while in unfriendly territories</t>
  </si>
  <si>
    <t>Iteron (du latin iteron : Répéter)</t>
  </si>
  <si>
    <t>173</t>
  </si>
  <si>
    <t>The Cormorant is the only State-produced space vessel whose design has come from a third party. Rumors abound, of course, but the designer's identity has remained a tightly-kept secret in the State's inner circle</t>
  </si>
  <si>
    <t>Cormoran</t>
  </si>
  <si>
    <t>094</t>
  </si>
  <si>
    <t>037</t>
  </si>
  <si>
    <t>Damnation</t>
  </si>
  <si>
    <t>Typhon</t>
  </si>
  <si>
    <t>036</t>
  </si>
  <si>
    <t>Absolution</t>
  </si>
  <si>
    <t>Prophecy</t>
  </si>
  <si>
    <t>Command ship</t>
  </si>
  <si>
    <t>X1</t>
  </si>
  <si>
    <t>This subsystem uses molecular-level nanotubes to increase the combustive efficiency of afterburners. Fuel is injected locally in a far more effective and controllable manner, thereby reducing the draw on the capacitor system. Although the decrease in capacitor use is relatively modest, even minute enhancements at this level can mean the difference between victory and defeat.</t>
  </si>
  <si>
    <t>This subsystem limits the wake left behind by a starship’s microwarpdrive, allowing a pilot to maintain a lowered signature radius while still moving at high speed. The underlying design is based on the same technology used by smaller Sleeper drones and empire-produced Interceptors. Although the engineering processes behind wake limiters have existed for quite some time in the empires, their application in modular subsystems has only become a possibility after fullerene polymers became more widely available.</t>
  </si>
  <si>
    <t>This subsystem exploits the latest technological advances afforded by discovery of the ancient Sleeper race’s own designs. Optimizations made to the chassis allow for vast improvements to be made to a Loki’s base velocity. Although the various layout optimizations sacrifice other options for propulsion customization, the flow-on effects from an increase in base velocity make it an attractive upgrade for those whose Tech III vessels are in need of an overall speed increase.</t>
  </si>
  <si>
    <t xml:space="preserve">The ancient Sleeper race was known to have mastered various sustainable energy technologies including thermoelectric systems, which they usually built directly into a vessel’s hull. Capsuleer reverse-engineers took little time to adapt salvaged versions of these Sleeper energy systems into their own modular Tech III vessel pieces. Thanks to widespread demand in many Minmatar industries, fuel catalyst systems were one of the first to be developed. Making full use of locally generated thermoelectric power, they are able to partially meet the fuel needs of an afterburner. This process makes it possible to inject fuel in larger amounts for the same capacitor cost, offering pilots a significant boost to the velocity increase from afterburners. </t>
  </si>
  <si>
    <t xml:space="preserve">Constructed from hard yet lightweight fullerene polymers, these intercalated fibers boost the agility of a starship without compromising its structural resilience. Even though basic nanofibers have existed for hundreds of years, the integration of various Sleeper-based salvage and other polymers takes the technology to a completely new level of modularity. This has allowed the same centuries-old technology to be ported over to the new Tech III paradigm. </t>
  </si>
  <si>
    <t>When confronted with the challenge of adapting Sleeper designs to produce shield boost amplification systems, Caldari engineers turned to the defense systems used by certain Talocan structures that had also been found in a few ancient ruins. In some rare cases, the shielding systems on Talocan facilities were constructed using a harmony of Sleeper and Talocan designs. The first successful production of a shield boost amplification node drew heavily upon early study of this particular combination.</t>
  </si>
  <si>
    <t>Capitalizing on the exceptional defensive capabilities of fullerene-based components, this subsystem allows a pilot to augment their Proteus’ armor resistance, dramatically enhancing its survivability in combat. Tiny molecular-level conduits play a crucial role in orchestrating the flow of nano-assemblers beneath the armor’s surface, guarding the flow of vital repairs against disruptive impact.</t>
  </si>
  <si>
    <t>This subsystem interfaces with drones only moments before they are launched, coating their armor in a thin and highly-resilient metallofullerene film. Although only a few millimeters thick, it represents over a million layers of hardened alloys and offers a substantial increase in the effective armor amount of a deployed drone.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</si>
</sst>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m&quot;"/>
    <numFmt numFmtId="165" formatCode="##0&quot; m/s&quot;"/>
    <numFmt numFmtId="166" formatCode="###,###,##0&quot; isk&quot;"/>
    <numFmt numFmtId="167" formatCode="###,###,##0&quot; kg&quot;"/>
    <numFmt numFmtId="168" formatCode="#,##0.0&quot; s&quot;"/>
    <numFmt numFmtId="169" formatCode="#0.00&quot; /s&quot;"/>
    <numFmt numFmtId="170" formatCode="#0&quot;%&quot;"/>
    <numFmt numFmtId="171" formatCode="##0.0&quot; AU/s&quot;"/>
    <numFmt numFmtId="172" formatCode="###,###,##0&quot; m3&quot;;;[White]0"/>
    <numFmt numFmtId="173" formatCode="#,##0&quot; s&quot;"/>
    <numFmt numFmtId="174" formatCode="##,##0&quot; km&quot;"/>
    <numFmt numFmtId="175" formatCode="###,###,##0&quot; t&quot;"/>
    <numFmt numFmtId="176" formatCode="####0&quot; mm&quot;"/>
    <numFmt numFmtId="177" formatCode="###0.0&quot; s&quot;"/>
    <numFmt numFmtId="178" formatCode="###,###,##0.0&quot; isk&quot;"/>
    <numFmt numFmtId="179" formatCode="##0.0&quot; ly&quot;"/>
    <numFmt numFmtId="180" formatCode="#,##0.0"/>
    <numFmt numFmtId="181" formatCode="#0&quot; Mbit/s&quot;;;[White]0"/>
    <numFmt numFmtId="182" formatCode="##0.0&quot; AU&quot;"/>
    <numFmt numFmtId="183" formatCode="##,##0&quot; GJ&quot;"/>
    <numFmt numFmtId="184" formatCode="###0&quot; tf&quot;"/>
    <numFmt numFmtId="185" formatCode="##,##0&quot; MW&quot;"/>
  </numFmts>
  <fonts count="30">
    <font>
      <sz val="10"/>
      <name val="Arial"/>
      <family val="0"/>
    </font>
    <font>
      <u val="single"/>
      <sz val="10"/>
      <color indexed="12"/>
      <name val="Arial"/>
      <family val="0"/>
    </font>
    <font>
      <u val="single"/>
      <sz val="10"/>
      <color indexed="36"/>
      <name val="Arial"/>
      <family val="0"/>
    </font>
    <font>
      <sz val="8"/>
      <name val="Tahoma"/>
      <family val="0"/>
    </font>
    <font>
      <b/>
      <sz val="8"/>
      <name val="Tahoma"/>
      <family val="0"/>
    </font>
    <font>
      <sz val="10"/>
      <color indexed="9"/>
      <name val="Arial"/>
      <family val="2"/>
    </font>
    <font>
      <sz val="10"/>
      <color indexed="55"/>
      <name val="Arial"/>
      <family val="2"/>
    </font>
    <font>
      <b/>
      <sz val="10"/>
      <name val="Arial"/>
      <family val="2"/>
    </font>
    <font>
      <sz val="10"/>
      <color indexed="22"/>
      <name val="Arial"/>
      <family val="2"/>
    </font>
    <font>
      <sz val="8"/>
      <name val="Arial"/>
      <family val="2"/>
    </font>
    <font>
      <sz val="8"/>
      <color indexed="55"/>
      <name val="Arial"/>
      <family val="2"/>
    </font>
    <font>
      <sz val="8"/>
      <color indexed="9"/>
      <name val="Arial"/>
      <family val="2"/>
    </font>
    <font>
      <sz val="8"/>
      <color indexed="22"/>
      <name val="Arial"/>
      <family val="2"/>
    </font>
    <font>
      <b/>
      <sz val="8"/>
      <name val="Arial"/>
      <family val="2"/>
    </font>
    <font>
      <sz val="10"/>
      <color indexed="63"/>
      <name val="Arial"/>
      <family val="2"/>
    </font>
    <font>
      <sz val="9"/>
      <name val="Arial"/>
      <family val="2"/>
    </font>
    <font>
      <sz val="10"/>
      <color indexed="43"/>
      <name val="Arial"/>
      <family val="2"/>
    </font>
    <font>
      <sz val="6"/>
      <name val="Arial"/>
      <family val="2"/>
    </font>
    <font>
      <b/>
      <sz val="10"/>
      <color indexed="22"/>
      <name val="Arial"/>
      <family val="2"/>
    </font>
    <font>
      <sz val="10"/>
      <color indexed="8"/>
      <name val="Arial"/>
      <family val="2"/>
    </font>
    <font>
      <sz val="7"/>
      <name val="Arial"/>
      <family val="2"/>
    </font>
    <font>
      <sz val="7"/>
      <color indexed="55"/>
      <name val="Arial"/>
      <family val="2"/>
    </font>
    <font>
      <sz val="5"/>
      <name val="Arial"/>
      <family val="2"/>
    </font>
    <font>
      <i/>
      <sz val="10"/>
      <color indexed="55"/>
      <name val="Arial"/>
      <family val="2"/>
    </font>
    <font>
      <sz val="6"/>
      <color indexed="22"/>
      <name val="Arial"/>
      <family val="2"/>
    </font>
    <font>
      <sz val="6"/>
      <color indexed="23"/>
      <name val="Arial"/>
      <family val="2"/>
    </font>
    <font>
      <b/>
      <sz val="8"/>
      <color indexed="44"/>
      <name val="Tahoma"/>
      <family val="2"/>
    </font>
    <font>
      <sz val="8"/>
      <color indexed="23"/>
      <name val="Arial"/>
      <family val="2"/>
    </font>
    <font>
      <sz val="9"/>
      <name val="Tahoma"/>
      <family val="0"/>
    </font>
    <font>
      <sz val="5"/>
      <color indexed="22"/>
      <name val="Arial"/>
      <family val="2"/>
    </font>
  </fonts>
  <fills count="51">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mediumGray">
        <fgColor indexed="9"/>
        <bgColor indexed="43"/>
      </patternFill>
    </fill>
    <fill>
      <patternFill patternType="solid">
        <fgColor indexed="46"/>
        <bgColor indexed="64"/>
      </patternFill>
    </fill>
    <fill>
      <patternFill patternType="darkGray">
        <fgColor indexed="9"/>
        <bgColor indexed="22"/>
      </patternFill>
    </fill>
    <fill>
      <patternFill patternType="solid">
        <fgColor indexed="16"/>
        <bgColor indexed="64"/>
      </patternFill>
    </fill>
    <fill>
      <patternFill patternType="mediumGray">
        <fgColor indexed="16"/>
        <bgColor indexed="60"/>
      </patternFill>
    </fill>
    <fill>
      <patternFill patternType="solid">
        <fgColor indexed="60"/>
        <bgColor indexed="64"/>
      </patternFill>
    </fill>
    <fill>
      <patternFill patternType="solid">
        <fgColor indexed="10"/>
        <bgColor indexed="64"/>
      </patternFill>
    </fill>
    <fill>
      <patternFill patternType="mediumGray">
        <fgColor indexed="10"/>
        <bgColor indexed="53"/>
      </patternFill>
    </fill>
    <fill>
      <patternFill patternType="solid">
        <fgColor indexed="42"/>
        <bgColor indexed="64"/>
      </patternFill>
    </fill>
    <fill>
      <patternFill patternType="solid">
        <fgColor indexed="53"/>
        <bgColor indexed="64"/>
      </patternFill>
    </fill>
    <fill>
      <patternFill patternType="mediumGray">
        <fgColor indexed="53"/>
        <bgColor indexed="52"/>
      </patternFill>
    </fill>
    <fill>
      <patternFill patternType="mediumGray">
        <fgColor indexed="52"/>
        <bgColor indexed="51"/>
      </patternFill>
    </fill>
    <fill>
      <patternFill patternType="solid">
        <fgColor indexed="51"/>
        <bgColor indexed="64"/>
      </patternFill>
    </fill>
    <fill>
      <patternFill patternType="mediumGray">
        <fgColor indexed="51"/>
        <bgColor indexed="13"/>
      </patternFill>
    </fill>
    <fill>
      <patternFill patternType="mediumGray">
        <fgColor indexed="42"/>
        <bgColor indexed="50"/>
      </patternFill>
    </fill>
    <fill>
      <patternFill patternType="solid">
        <fgColor indexed="23"/>
        <bgColor indexed="64"/>
      </patternFill>
    </fill>
    <fill>
      <patternFill patternType="solid">
        <fgColor indexed="55"/>
        <bgColor indexed="64"/>
      </patternFill>
    </fill>
    <fill>
      <patternFill patternType="mediumGray">
        <fgColor indexed="9"/>
        <bgColor indexed="22"/>
      </patternFill>
    </fill>
    <fill>
      <patternFill patternType="solid">
        <fgColor indexed="63"/>
        <bgColor indexed="64"/>
      </patternFill>
    </fill>
    <fill>
      <patternFill patternType="mediumGray">
        <bgColor indexed="23"/>
      </patternFill>
    </fill>
    <fill>
      <patternFill patternType="solid">
        <fgColor indexed="15"/>
        <bgColor indexed="64"/>
      </patternFill>
    </fill>
    <fill>
      <patternFill patternType="mediumGray">
        <fgColor indexed="43"/>
        <bgColor indexed="47"/>
      </patternFill>
    </fill>
    <fill>
      <patternFill patternType="mediumGray">
        <fgColor indexed="9"/>
        <bgColor indexed="11"/>
      </patternFill>
    </fill>
    <fill>
      <patternFill patternType="mediumGray">
        <fgColor indexed="43"/>
        <bgColor indexed="43"/>
      </patternFill>
    </fill>
    <fill>
      <patternFill patternType="mediumGray">
        <fgColor indexed="55"/>
        <bgColor indexed="23"/>
      </patternFill>
    </fill>
    <fill>
      <patternFill patternType="mediumGray">
        <fgColor indexed="22"/>
        <bgColor indexed="55"/>
      </patternFill>
    </fill>
    <fill>
      <patternFill patternType="mediumGray">
        <fgColor indexed="9"/>
        <bgColor indexed="47"/>
      </patternFill>
    </fill>
    <fill>
      <patternFill patternType="mediumGray">
        <fgColor indexed="9"/>
      </patternFill>
    </fill>
    <fill>
      <patternFill patternType="mediumGray">
        <fgColor indexed="9"/>
        <bgColor indexed="44"/>
      </patternFill>
    </fill>
    <fill>
      <patternFill patternType="mediumGray">
        <fgColor indexed="11"/>
        <bgColor indexed="49"/>
      </patternFill>
    </fill>
    <fill>
      <patternFill patternType="mediumGray">
        <fgColor indexed="50"/>
        <bgColor indexed="49"/>
      </patternFill>
    </fill>
    <fill>
      <patternFill patternType="mediumGray">
        <fgColor indexed="23"/>
        <bgColor indexed="63"/>
      </patternFill>
    </fill>
    <fill>
      <patternFill patternType="mediumGray">
        <fgColor indexed="47"/>
        <bgColor indexed="42"/>
      </patternFill>
    </fill>
    <fill>
      <patternFill patternType="mediumGray">
        <fgColor indexed="47"/>
        <bgColor indexed="43"/>
      </patternFill>
    </fill>
    <fill>
      <patternFill patternType="mediumGray">
        <fgColor indexed="42"/>
        <bgColor indexed="44"/>
      </patternFill>
    </fill>
    <fill>
      <patternFill patternType="mediumGray">
        <fgColor indexed="44"/>
        <bgColor indexed="43"/>
      </patternFill>
    </fill>
    <fill>
      <patternFill patternType="solid">
        <fgColor indexed="14"/>
        <bgColor indexed="64"/>
      </patternFill>
    </fill>
  </fills>
  <borders count="10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color indexed="22"/>
      </right>
      <top>
        <color indexed="63"/>
      </top>
      <bottom>
        <color indexed="63"/>
      </bottom>
    </border>
    <border>
      <left>
        <color indexed="63"/>
      </left>
      <right style="dotted">
        <color indexed="22"/>
      </right>
      <top>
        <color indexed="63"/>
      </top>
      <bottom>
        <color indexed="63"/>
      </bottom>
    </border>
    <border>
      <left style="thin">
        <color indexed="22"/>
      </left>
      <right style="dotted">
        <color indexed="22"/>
      </right>
      <top>
        <color indexed="63"/>
      </top>
      <bottom>
        <color indexed="63"/>
      </bottom>
    </border>
    <border>
      <left style="dotted">
        <color indexed="22"/>
      </left>
      <right style="thin">
        <color indexed="22"/>
      </right>
      <top>
        <color indexed="63"/>
      </top>
      <bottom>
        <color indexed="63"/>
      </bottom>
    </border>
    <border>
      <left style="dotted">
        <color indexed="22"/>
      </left>
      <right style="dotted">
        <color indexed="22"/>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dotted">
        <color indexed="22"/>
      </left>
      <right>
        <color indexed="63"/>
      </right>
      <top>
        <color indexed="63"/>
      </top>
      <bottom>
        <color indexed="63"/>
      </bottom>
    </border>
    <border>
      <left style="dotted">
        <color indexed="22"/>
      </left>
      <right style="thin"/>
      <top>
        <color indexed="63"/>
      </top>
      <bottom>
        <color indexed="63"/>
      </bottom>
    </border>
    <border>
      <left style="thin">
        <color indexed="22"/>
      </left>
      <right>
        <color indexed="63"/>
      </right>
      <top>
        <color indexed="63"/>
      </top>
      <bottom>
        <color indexed="63"/>
      </bottom>
    </border>
    <border>
      <left style="thin">
        <color indexed="9"/>
      </left>
      <right>
        <color indexed="63"/>
      </right>
      <top>
        <color indexed="63"/>
      </top>
      <bottom>
        <color indexed="63"/>
      </bottom>
    </border>
    <border>
      <left style="thin"/>
      <right style="thin"/>
      <top>
        <color indexed="63"/>
      </top>
      <bottom style="thin"/>
    </border>
    <border>
      <left style="thin"/>
      <right style="thin"/>
      <top style="thin"/>
      <bottom style="thin"/>
    </border>
    <border>
      <left style="thin">
        <color indexed="9"/>
      </left>
      <right style="thin">
        <color indexed="9"/>
      </right>
      <top>
        <color indexed="63"/>
      </top>
      <bottom>
        <color indexed="63"/>
      </bottom>
    </border>
    <border>
      <left style="dotted">
        <color indexed="22"/>
      </left>
      <right style="dotted">
        <color indexed="22"/>
      </right>
      <top>
        <color indexed="63"/>
      </top>
      <bottom style="thin">
        <color indexed="22"/>
      </bottom>
    </border>
    <border>
      <left style="thin"/>
      <right style="dotted">
        <color indexed="22"/>
      </right>
      <top>
        <color indexed="63"/>
      </top>
      <bottom style="thin">
        <color indexed="22"/>
      </bottom>
    </border>
    <border>
      <left style="dotted">
        <color indexed="22"/>
      </left>
      <right style="thin">
        <color indexed="22"/>
      </right>
      <top>
        <color indexed="63"/>
      </top>
      <bottom style="thin">
        <color indexed="22"/>
      </bottom>
    </border>
    <border>
      <left style="thin">
        <color indexed="22"/>
      </left>
      <right style="thin"/>
      <top>
        <color indexed="63"/>
      </top>
      <bottom>
        <color indexed="63"/>
      </bottom>
    </border>
    <border>
      <left style="thin">
        <color indexed="9"/>
      </left>
      <right>
        <color indexed="63"/>
      </right>
      <top style="thin"/>
      <bottom>
        <color indexed="63"/>
      </bottom>
    </border>
    <border>
      <left style="thin">
        <color indexed="22"/>
      </left>
      <right style="thin">
        <color indexed="22"/>
      </right>
      <top>
        <color indexed="63"/>
      </top>
      <bottom>
        <color indexed="63"/>
      </bottom>
    </border>
    <border>
      <left style="thin"/>
      <right style="thin"/>
      <top style="thin"/>
      <bottom>
        <color indexed="63"/>
      </bottom>
    </border>
    <border>
      <left style="thin">
        <color indexed="22"/>
      </left>
      <right style="thin"/>
      <top style="thin"/>
      <bottom>
        <color indexed="63"/>
      </bottom>
    </border>
    <border>
      <left style="dotted">
        <color indexed="22"/>
      </left>
      <right>
        <color indexed="63"/>
      </right>
      <top style="thin"/>
      <bottom>
        <color indexed="63"/>
      </bottom>
    </border>
    <border>
      <left style="thin">
        <color indexed="22"/>
      </left>
      <right style="dotted">
        <color indexed="22"/>
      </right>
      <top style="thin"/>
      <bottom>
        <color indexed="63"/>
      </bottom>
    </border>
    <border>
      <left style="thin">
        <color indexed="22"/>
      </left>
      <right>
        <color indexed="63"/>
      </right>
      <top style="thin"/>
      <bottom>
        <color indexed="63"/>
      </bottom>
    </border>
    <border>
      <left style="thin">
        <color indexed="22"/>
      </left>
      <right style="thin">
        <color indexed="22"/>
      </right>
      <top style="thin"/>
      <bottom>
        <color indexed="63"/>
      </bottom>
    </border>
    <border>
      <left style="dashed">
        <color indexed="22"/>
      </left>
      <right>
        <color indexed="63"/>
      </right>
      <top>
        <color indexed="63"/>
      </top>
      <bottom>
        <color indexed="63"/>
      </bottom>
    </border>
    <border>
      <left style="thin"/>
      <right style="thin"/>
      <top>
        <color indexed="63"/>
      </top>
      <bottom>
        <color indexed="63"/>
      </bottom>
    </border>
    <border>
      <left>
        <color indexed="63"/>
      </left>
      <right style="thin">
        <color indexed="22"/>
      </right>
      <top>
        <color indexed="63"/>
      </top>
      <bottom>
        <color indexed="63"/>
      </bottom>
    </border>
    <border>
      <left>
        <color indexed="63"/>
      </left>
      <right>
        <color indexed="63"/>
      </right>
      <top style="double">
        <color indexed="9"/>
      </top>
      <bottom>
        <color indexed="63"/>
      </bottom>
    </border>
    <border>
      <left style="double">
        <color indexed="9"/>
      </left>
      <right>
        <color indexed="63"/>
      </right>
      <top>
        <color indexed="63"/>
      </top>
      <bottom>
        <color indexed="63"/>
      </bottom>
    </border>
    <border>
      <left>
        <color indexed="63"/>
      </left>
      <right style="double">
        <color indexed="9"/>
      </right>
      <top>
        <color indexed="63"/>
      </top>
      <bottom>
        <color indexed="63"/>
      </bottom>
    </border>
    <border>
      <left style="thin"/>
      <right>
        <color indexed="63"/>
      </right>
      <top style="thin"/>
      <bottom>
        <color indexed="63"/>
      </bottom>
    </border>
    <border>
      <left style="double">
        <color indexed="9"/>
      </left>
      <right>
        <color indexed="63"/>
      </right>
      <top style="double">
        <color indexed="9"/>
      </top>
      <bottom>
        <color indexed="63"/>
      </bottom>
    </border>
    <border>
      <left>
        <color indexed="63"/>
      </left>
      <right style="double">
        <color indexed="9"/>
      </right>
      <top style="double">
        <color indexed="9"/>
      </top>
      <bottom>
        <color indexed="63"/>
      </bottom>
    </border>
    <border>
      <left>
        <color indexed="63"/>
      </left>
      <right>
        <color indexed="63"/>
      </right>
      <top>
        <color indexed="63"/>
      </top>
      <bottom style="thin">
        <color indexed="22"/>
      </bottom>
    </border>
    <border>
      <left>
        <color indexed="63"/>
      </left>
      <right>
        <color indexed="63"/>
      </right>
      <top style="double"/>
      <bottom>
        <color indexed="63"/>
      </bottom>
    </border>
    <border>
      <left style="thin"/>
      <right style="thin">
        <color indexed="22"/>
      </right>
      <top style="thin"/>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style="thin"/>
      <right style="thin">
        <color indexed="22"/>
      </right>
      <top>
        <color indexed="63"/>
      </top>
      <bottom style="thin"/>
    </border>
    <border>
      <left>
        <color indexed="63"/>
      </left>
      <right style="thin">
        <color indexed="9"/>
      </right>
      <top>
        <color indexed="63"/>
      </top>
      <bottom style="thin"/>
    </border>
    <border>
      <left style="thin">
        <color indexed="9"/>
      </left>
      <right style="thin">
        <color indexed="9"/>
      </right>
      <top>
        <color indexed="63"/>
      </top>
      <bottom style="thin"/>
    </border>
    <border>
      <left>
        <color indexed="63"/>
      </left>
      <right style="dotted">
        <color indexed="22"/>
      </right>
      <top>
        <color indexed="63"/>
      </top>
      <bottom style="thin"/>
    </border>
    <border>
      <left style="dotted">
        <color indexed="22"/>
      </left>
      <right style="dotted">
        <color indexed="22"/>
      </right>
      <top>
        <color indexed="63"/>
      </top>
      <bottom style="thin"/>
    </border>
    <border>
      <left style="dotted">
        <color indexed="22"/>
      </left>
      <right style="thin">
        <color indexed="22"/>
      </right>
      <top>
        <color indexed="63"/>
      </top>
      <bottom style="thin"/>
    </border>
    <border>
      <left style="thin">
        <color indexed="22"/>
      </left>
      <right style="dotted">
        <color indexed="22"/>
      </right>
      <top>
        <color indexed="63"/>
      </top>
      <bottom style="thin"/>
    </border>
    <border>
      <left style="dotted">
        <color indexed="22"/>
      </left>
      <right>
        <color indexed="63"/>
      </right>
      <top>
        <color indexed="63"/>
      </top>
      <bottom style="thin"/>
    </border>
    <border>
      <left style="thin">
        <color indexed="22"/>
      </left>
      <right style="thin"/>
      <top>
        <color indexed="63"/>
      </top>
      <bottom style="thin"/>
    </border>
    <border>
      <left style="thin">
        <color indexed="22"/>
      </left>
      <right style="thin">
        <color indexed="22"/>
      </right>
      <top>
        <color indexed="63"/>
      </top>
      <bottom style="thin"/>
    </border>
    <border>
      <left style="thin">
        <color indexed="22"/>
      </left>
      <right>
        <color indexed="63"/>
      </right>
      <top>
        <color indexed="63"/>
      </top>
      <bottom style="thin"/>
    </border>
    <border>
      <left style="dotted">
        <color indexed="22"/>
      </left>
      <right style="thin"/>
      <top>
        <color indexed="63"/>
      </top>
      <bottom style="thin"/>
    </border>
    <border>
      <left style="dashed">
        <color indexed="22"/>
      </left>
      <right>
        <color indexed="63"/>
      </right>
      <top>
        <color indexed="63"/>
      </top>
      <bottom style="thin"/>
    </border>
    <border>
      <left style="thin">
        <color indexed="9"/>
      </left>
      <right>
        <color indexed="63"/>
      </right>
      <top>
        <color indexed="63"/>
      </top>
      <bottom style="thin"/>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right style="dotted">
        <color indexed="22"/>
      </right>
      <top>
        <color indexed="63"/>
      </top>
      <bottom>
        <color indexed="63"/>
      </bottom>
    </border>
    <border>
      <left>
        <color indexed="63"/>
      </left>
      <right style="thin"/>
      <top style="thin"/>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right style="thin"/>
      <top>
        <color indexed="63"/>
      </top>
      <bottom style="thin">
        <color indexed="22"/>
      </bottom>
    </border>
    <border>
      <left style="thin">
        <color indexed="22"/>
      </left>
      <right style="thin"/>
      <top style="thin">
        <color indexed="22"/>
      </top>
      <bottom style="thin">
        <color indexed="22"/>
      </bottom>
    </border>
    <border>
      <left style="thin">
        <color indexed="22"/>
      </left>
      <right style="dotted">
        <color indexed="22"/>
      </right>
      <top style="thin">
        <color indexed="22"/>
      </top>
      <bottom style="thin">
        <color indexed="22"/>
      </bottom>
    </border>
    <border>
      <left style="dotted">
        <color indexed="22"/>
      </left>
      <right style="dotted">
        <color indexed="22"/>
      </right>
      <top style="thin">
        <color indexed="22"/>
      </top>
      <bottom style="thin">
        <color indexed="22"/>
      </bottom>
    </border>
    <border>
      <left style="dotted">
        <color indexed="22"/>
      </left>
      <right style="thin"/>
      <top style="thin">
        <color indexed="22"/>
      </top>
      <bottom style="thin">
        <color indexed="22"/>
      </bottom>
    </border>
    <border>
      <left style="dotted">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dotted">
        <color indexed="22"/>
      </right>
      <top style="thin">
        <color indexed="22"/>
      </top>
      <bottom style="thin">
        <color indexed="22"/>
      </bottom>
    </border>
    <border>
      <left>
        <color indexed="63"/>
      </left>
      <right>
        <color indexed="63"/>
      </right>
      <top style="thin">
        <color indexed="22"/>
      </top>
      <bottom style="thin">
        <color indexed="22"/>
      </bottom>
    </border>
    <border>
      <left style="dotted">
        <color indexed="22"/>
      </left>
      <right>
        <color indexed="63"/>
      </right>
      <top style="thin">
        <color indexed="22"/>
      </top>
      <bottom>
        <color indexed="63"/>
      </bottom>
    </border>
    <border>
      <left style="dotted">
        <color indexed="22"/>
      </left>
      <right>
        <color indexed="63"/>
      </right>
      <top>
        <color indexed="63"/>
      </top>
      <bottom style="thin">
        <color indexed="22"/>
      </bottom>
    </border>
    <border>
      <left style="dotted">
        <color indexed="22"/>
      </left>
      <right>
        <color indexed="63"/>
      </right>
      <top style="thin">
        <color indexed="22"/>
      </top>
      <bottom style="thin">
        <color indexed="22"/>
      </bottom>
    </border>
    <border>
      <left style="thin">
        <color indexed="22"/>
      </left>
      <right style="dotted">
        <color indexed="22"/>
      </right>
      <top style="thin">
        <color indexed="22"/>
      </top>
      <bottom>
        <color indexed="63"/>
      </bottom>
    </border>
    <border>
      <left style="thin">
        <color indexed="22"/>
      </left>
      <right style="dotted">
        <color indexed="22"/>
      </right>
      <top>
        <color indexed="63"/>
      </top>
      <bottom style="thin">
        <color indexed="22"/>
      </bottom>
    </border>
    <border>
      <left style="thin"/>
      <right style="dotted">
        <color indexed="22"/>
      </right>
      <top style="thin">
        <color indexed="22"/>
      </top>
      <bottom style="thin">
        <color indexed="22"/>
      </bottom>
    </border>
    <border>
      <left style="dotted">
        <color indexed="22"/>
      </left>
      <right style="dotted">
        <color indexed="22"/>
      </right>
      <top style="thin">
        <color indexed="22"/>
      </top>
      <bottom>
        <color indexed="63"/>
      </bottom>
    </border>
    <border>
      <left style="thin"/>
      <right style="dotted">
        <color indexed="22"/>
      </right>
      <top style="thin">
        <color indexed="22"/>
      </top>
      <bottom>
        <color indexed="63"/>
      </bottom>
    </border>
    <border>
      <left style="dotted">
        <color indexed="22"/>
      </left>
      <right style="thin">
        <color indexed="22"/>
      </right>
      <top style="thin">
        <color indexed="22"/>
      </top>
      <bottom>
        <color indexed="63"/>
      </bottom>
    </border>
    <border>
      <left style="thin">
        <color indexed="9"/>
      </left>
      <right style="thin">
        <color indexed="9"/>
      </right>
      <top style="thin"/>
      <bottom>
        <color indexed="63"/>
      </bottom>
    </border>
    <border>
      <left style="thin"/>
      <right style="thin">
        <color indexed="22"/>
      </right>
      <top style="thin">
        <color indexed="22"/>
      </top>
      <bottom style="thin">
        <color indexed="22"/>
      </bottom>
    </border>
    <border>
      <left style="thin">
        <color indexed="22"/>
      </left>
      <right style="thin"/>
      <top style="thin">
        <color indexed="22"/>
      </top>
      <bottom>
        <color indexed="63"/>
      </bottom>
    </border>
    <border>
      <left style="thin">
        <color indexed="22"/>
      </left>
      <right style="thin"/>
      <top>
        <color indexed="63"/>
      </top>
      <bottom style="thin">
        <color indexed="22"/>
      </bottom>
    </border>
    <border>
      <left style="dotted">
        <color indexed="22"/>
      </left>
      <right style="thin"/>
      <top style="thin">
        <color indexed="22"/>
      </top>
      <bottom>
        <color indexed="63"/>
      </bottom>
    </border>
    <border>
      <left style="dotted">
        <color indexed="22"/>
      </left>
      <right style="thin"/>
      <top>
        <color indexed="63"/>
      </top>
      <bottom style="thin">
        <color indexed="22"/>
      </bottom>
    </border>
    <border>
      <left style="thin"/>
      <right style="thin">
        <color indexed="22"/>
      </right>
      <top style="thin">
        <color indexed="22"/>
      </top>
      <bottom>
        <color indexed="63"/>
      </bottom>
    </border>
    <border>
      <left style="thin"/>
      <right style="thin">
        <color indexed="22"/>
      </right>
      <top>
        <color indexed="63"/>
      </top>
      <bottom style="thin">
        <color indexed="22"/>
      </bottom>
    </border>
    <border>
      <left>
        <color indexed="63"/>
      </left>
      <right style="thin">
        <color indexed="9"/>
      </right>
      <top style="thin"/>
      <bottom>
        <color indexed="63"/>
      </bottom>
    </border>
    <border>
      <left>
        <color indexed="63"/>
      </left>
      <right style="dotted">
        <color indexed="22"/>
      </right>
      <top style="thin"/>
      <bottom>
        <color indexed="63"/>
      </bottom>
    </border>
    <border>
      <left style="dotted">
        <color indexed="22"/>
      </left>
      <right style="dotted">
        <color indexed="22"/>
      </right>
      <top style="thin"/>
      <bottom style="thin">
        <color indexed="22"/>
      </bottom>
    </border>
    <border>
      <left style="dotted">
        <color indexed="22"/>
      </left>
      <right style="thin">
        <color indexed="22"/>
      </right>
      <top style="thin"/>
      <bottom>
        <color indexed="63"/>
      </bottom>
    </border>
    <border>
      <left style="dotted">
        <color indexed="22"/>
      </left>
      <right>
        <color indexed="63"/>
      </right>
      <top style="thin"/>
      <bottom style="thin">
        <color indexed="22"/>
      </bottom>
    </border>
    <border>
      <left>
        <color indexed="63"/>
      </left>
      <right>
        <color indexed="63"/>
      </right>
      <top style="thin"/>
      <bottom>
        <color indexed="63"/>
      </bottom>
    </border>
    <border>
      <left style="thin"/>
      <right style="thin">
        <color indexed="22"/>
      </right>
      <top style="thin"/>
      <bottom style="thin">
        <color indexed="22"/>
      </bottom>
    </border>
    <border>
      <left style="dotted">
        <color indexed="22"/>
      </left>
      <right style="dotted">
        <color indexed="22"/>
      </right>
      <top style="thin"/>
      <bottom>
        <color indexed="63"/>
      </bottom>
    </border>
    <border>
      <left style="dotted">
        <color indexed="22"/>
      </left>
      <right style="thin"/>
      <top style="thin"/>
      <bottom>
        <color indexed="63"/>
      </bottom>
    </border>
    <border>
      <left style="dashed">
        <color indexed="22"/>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1053">
    <xf numFmtId="0" fontId="0" fillId="0" borderId="0" xfId="0" applyAlignment="1">
      <alignment/>
    </xf>
    <xf numFmtId="0" fontId="0" fillId="0" borderId="1" xfId="0" applyBorder="1" applyAlignment="1">
      <alignment/>
    </xf>
    <xf numFmtId="0" fontId="5" fillId="2" borderId="0" xfId="0" applyFont="1" applyFill="1" applyAlignment="1">
      <alignment horizontal="center"/>
    </xf>
    <xf numFmtId="0" fontId="0" fillId="0" borderId="0" xfId="0" applyBorder="1" applyAlignment="1">
      <alignment/>
    </xf>
    <xf numFmtId="0" fontId="0" fillId="0" borderId="0" xfId="0" applyFill="1" applyBorder="1" applyAlignment="1">
      <alignment/>
    </xf>
    <xf numFmtId="0" fontId="6" fillId="0" borderId="1" xfId="0" applyFont="1" applyBorder="1" applyAlignment="1">
      <alignment/>
    </xf>
    <xf numFmtId="0" fontId="5" fillId="2" borderId="2" xfId="0" applyFont="1" applyFill="1" applyBorder="1" applyAlignment="1">
      <alignment horizontal="center"/>
    </xf>
    <xf numFmtId="164" fontId="0" fillId="0" borderId="0" xfId="0" applyNumberFormat="1" applyAlignment="1">
      <alignment/>
    </xf>
    <xf numFmtId="0" fontId="5" fillId="2" borderId="1" xfId="0" applyFont="1" applyFill="1" applyBorder="1" applyAlignment="1">
      <alignment horizontal="center" wrapText="1"/>
    </xf>
    <xf numFmtId="0" fontId="5" fillId="2" borderId="0" xfId="0" applyFont="1" applyFill="1" applyAlignment="1">
      <alignment/>
    </xf>
    <xf numFmtId="49" fontId="5" fillId="2" borderId="0" xfId="0" applyNumberFormat="1" applyFont="1" applyFill="1" applyAlignment="1">
      <alignment/>
    </xf>
    <xf numFmtId="0" fontId="0" fillId="0" borderId="3" xfId="0" applyBorder="1" applyAlignment="1">
      <alignment/>
    </xf>
    <xf numFmtId="0" fontId="8" fillId="0" borderId="0" xfId="0" applyFont="1" applyAlignment="1">
      <alignment/>
    </xf>
    <xf numFmtId="0" fontId="0" fillId="0" borderId="0" xfId="0" applyFont="1" applyBorder="1" applyAlignment="1">
      <alignment/>
    </xf>
    <xf numFmtId="0" fontId="8" fillId="2" borderId="0" xfId="0" applyFont="1" applyFill="1" applyAlignment="1">
      <alignment horizontal="center"/>
    </xf>
    <xf numFmtId="0" fontId="0" fillId="0" borderId="4" xfId="0" applyFill="1" applyBorder="1" applyAlignment="1">
      <alignment horizontal="center"/>
    </xf>
    <xf numFmtId="0" fontId="0" fillId="0" borderId="5"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3" borderId="5" xfId="0" applyFill="1" applyBorder="1" applyAlignment="1">
      <alignment horizontal="center"/>
    </xf>
    <xf numFmtId="0" fontId="5" fillId="2" borderId="0" xfId="0" applyFont="1" applyFill="1" applyBorder="1" applyAlignment="1">
      <alignment horizontal="center"/>
    </xf>
    <xf numFmtId="0" fontId="0" fillId="0" borderId="0" xfId="0" applyFont="1" applyAlignment="1">
      <alignment/>
    </xf>
    <xf numFmtId="9" fontId="5" fillId="2" borderId="0" xfId="0" applyNumberFormat="1" applyFont="1" applyFill="1" applyAlignment="1">
      <alignment horizontal="center"/>
    </xf>
    <xf numFmtId="0" fontId="0" fillId="0" borderId="7" xfId="0" applyNumberFormat="1" applyFill="1" applyBorder="1" applyAlignment="1">
      <alignment horizontal="center"/>
    </xf>
    <xf numFmtId="0" fontId="0" fillId="4" borderId="8" xfId="16" applyFont="1" applyFill="1" applyBorder="1" applyAlignment="1">
      <alignment/>
    </xf>
    <xf numFmtId="0" fontId="5" fillId="2" borderId="9" xfId="0" applyFont="1" applyFill="1" applyBorder="1" applyAlignment="1">
      <alignment horizontal="center"/>
    </xf>
    <xf numFmtId="0" fontId="5" fillId="2" borderId="9" xfId="0" applyFont="1" applyFill="1" applyBorder="1" applyAlignment="1">
      <alignment/>
    </xf>
    <xf numFmtId="0" fontId="8" fillId="2" borderId="9" xfId="0" applyFont="1" applyFill="1" applyBorder="1" applyAlignment="1">
      <alignment horizontal="center"/>
    </xf>
    <xf numFmtId="0" fontId="5" fillId="2" borderId="9" xfId="0" applyFont="1" applyFill="1" applyBorder="1" applyAlignment="1">
      <alignment horizontal="center" wrapText="1"/>
    </xf>
    <xf numFmtId="49" fontId="5" fillId="2" borderId="9" xfId="0" applyNumberFormat="1" applyFont="1" applyFill="1" applyBorder="1" applyAlignment="1">
      <alignment/>
    </xf>
    <xf numFmtId="0" fontId="5" fillId="2" borderId="10" xfId="0" applyFont="1" applyFill="1" applyBorder="1" applyAlignment="1">
      <alignment horizontal="center"/>
    </xf>
    <xf numFmtId="0" fontId="5" fillId="2" borderId="11" xfId="0" applyFont="1" applyFill="1" applyBorder="1" applyAlignment="1">
      <alignment horizontal="center"/>
    </xf>
    <xf numFmtId="0" fontId="6" fillId="0" borderId="2" xfId="0" applyFont="1" applyFill="1" applyBorder="1" applyAlignment="1">
      <alignment/>
    </xf>
    <xf numFmtId="0" fontId="0" fillId="0" borderId="5" xfId="0" applyNumberFormat="1" applyFont="1" applyFill="1" applyBorder="1" applyAlignment="1">
      <alignment horizontal="center"/>
    </xf>
    <xf numFmtId="0" fontId="0" fillId="0" borderId="7" xfId="0" applyNumberFormat="1" applyFont="1" applyFill="1" applyBorder="1" applyAlignment="1">
      <alignment horizontal="center"/>
    </xf>
    <xf numFmtId="164" fontId="0" fillId="0" borderId="0" xfId="0" applyNumberFormat="1" applyFont="1" applyAlignment="1">
      <alignment/>
    </xf>
    <xf numFmtId="0" fontId="0" fillId="0" borderId="0" xfId="0" applyFont="1" applyFill="1" applyBorder="1" applyAlignment="1">
      <alignment/>
    </xf>
    <xf numFmtId="0" fontId="5" fillId="2" borderId="0" xfId="0" applyFont="1" applyFill="1" applyBorder="1" applyAlignment="1">
      <alignment horizontal="left"/>
    </xf>
    <xf numFmtId="164" fontId="5" fillId="2" borderId="0" xfId="0" applyNumberFormat="1" applyFont="1" applyFill="1" applyAlignment="1">
      <alignment horizontal="center"/>
    </xf>
    <xf numFmtId="0" fontId="9" fillId="0" borderId="0" xfId="0" applyFont="1" applyAlignment="1">
      <alignment/>
    </xf>
    <xf numFmtId="170" fontId="0" fillId="0" borderId="5" xfId="0" applyNumberFormat="1" applyBorder="1" applyAlignment="1">
      <alignment horizontal="center"/>
    </xf>
    <xf numFmtId="170" fontId="0" fillId="0" borderId="7" xfId="0" applyNumberFormat="1" applyBorder="1" applyAlignment="1">
      <alignment horizontal="center"/>
    </xf>
    <xf numFmtId="170" fontId="0" fillId="0" borderId="12" xfId="0" applyNumberFormat="1" applyBorder="1" applyAlignment="1">
      <alignment horizontal="center"/>
    </xf>
    <xf numFmtId="170" fontId="0" fillId="0" borderId="5" xfId="0" applyNumberFormat="1" applyFont="1" applyBorder="1" applyAlignment="1">
      <alignment horizontal="center"/>
    </xf>
    <xf numFmtId="170" fontId="0" fillId="0" borderId="7" xfId="0" applyNumberFormat="1" applyFont="1" applyBorder="1" applyAlignment="1">
      <alignment horizontal="center"/>
    </xf>
    <xf numFmtId="170" fontId="0" fillId="0" borderId="12" xfId="0" applyNumberFormat="1" applyFont="1" applyBorder="1" applyAlignment="1">
      <alignment horizontal="center"/>
    </xf>
    <xf numFmtId="170" fontId="0" fillId="0" borderId="5" xfId="0" applyNumberFormat="1" applyFont="1" applyFill="1" applyBorder="1" applyAlignment="1">
      <alignment horizontal="center"/>
    </xf>
    <xf numFmtId="170" fontId="0" fillId="0" borderId="12" xfId="0" applyNumberFormat="1" applyFont="1" applyFill="1" applyBorder="1" applyAlignment="1">
      <alignment horizontal="center"/>
    </xf>
    <xf numFmtId="170" fontId="0" fillId="0" borderId="7" xfId="0" applyNumberFormat="1" applyFont="1" applyFill="1" applyBorder="1" applyAlignment="1">
      <alignment horizontal="center"/>
    </xf>
    <xf numFmtId="170" fontId="0" fillId="0" borderId="13" xfId="0" applyNumberFormat="1" applyFont="1" applyBorder="1" applyAlignment="1">
      <alignment horizontal="center"/>
    </xf>
    <xf numFmtId="170" fontId="0" fillId="0" borderId="13" xfId="0" applyNumberFormat="1" applyFont="1" applyFill="1" applyBorder="1" applyAlignment="1">
      <alignment horizontal="center"/>
    </xf>
    <xf numFmtId="170" fontId="0" fillId="0" borderId="14" xfId="0" applyNumberFormat="1" applyBorder="1" applyAlignment="1">
      <alignment horizontal="center"/>
    </xf>
    <xf numFmtId="170" fontId="0" fillId="0" borderId="7" xfId="0" applyNumberFormat="1" applyFill="1" applyBorder="1" applyAlignment="1">
      <alignment horizontal="center"/>
    </xf>
    <xf numFmtId="170" fontId="0" fillId="0" borderId="13" xfId="0" applyNumberFormat="1" applyFill="1" applyBorder="1" applyAlignment="1">
      <alignment horizontal="center"/>
    </xf>
    <xf numFmtId="0" fontId="0" fillId="0" borderId="0" xfId="0" applyNumberFormat="1" applyFont="1" applyFill="1" applyBorder="1" applyAlignment="1">
      <alignment/>
    </xf>
    <xf numFmtId="0" fontId="0" fillId="0" borderId="4" xfId="0" applyNumberFormat="1" applyFill="1" applyBorder="1" applyAlignment="1">
      <alignment horizontal="center"/>
    </xf>
    <xf numFmtId="0" fontId="0" fillId="0" borderId="4" xfId="0" applyNumberFormat="1" applyFont="1" applyFill="1" applyBorder="1" applyAlignment="1">
      <alignment horizontal="center"/>
    </xf>
    <xf numFmtId="0" fontId="5" fillId="2" borderId="1" xfId="0" applyFont="1" applyFill="1" applyBorder="1" applyAlignment="1">
      <alignment horizontal="left"/>
    </xf>
    <xf numFmtId="0" fontId="5" fillId="2" borderId="0" xfId="0" applyFont="1" applyFill="1" applyAlignment="1">
      <alignment horizontal="left"/>
    </xf>
    <xf numFmtId="164" fontId="5" fillId="2" borderId="0" xfId="0" applyNumberFormat="1" applyFont="1" applyFill="1" applyAlignment="1">
      <alignment horizontal="left"/>
    </xf>
    <xf numFmtId="0" fontId="12" fillId="5" borderId="15" xfId="0" applyFont="1" applyFill="1" applyBorder="1" applyAlignment="1">
      <alignment/>
    </xf>
    <xf numFmtId="0" fontId="12" fillId="6" borderId="15" xfId="0" applyFont="1" applyFill="1" applyBorder="1" applyAlignment="1">
      <alignment/>
    </xf>
    <xf numFmtId="0" fontId="12" fillId="7" borderId="15" xfId="0" applyFont="1" applyFill="1" applyBorder="1" applyAlignment="1">
      <alignment/>
    </xf>
    <xf numFmtId="0" fontId="11" fillId="2" borderId="10" xfId="0" applyFont="1" applyFill="1" applyBorder="1" applyAlignment="1">
      <alignment horizontal="center"/>
    </xf>
    <xf numFmtId="164" fontId="11" fillId="2" borderId="9" xfId="0" applyNumberFormat="1" applyFont="1" applyFill="1" applyBorder="1" applyAlignment="1">
      <alignment/>
    </xf>
    <xf numFmtId="0" fontId="5" fillId="2" borderId="16" xfId="0" applyFont="1" applyFill="1" applyBorder="1" applyAlignment="1">
      <alignment horizontal="left" wrapText="1"/>
    </xf>
    <xf numFmtId="9" fontId="0" fillId="8" borderId="17" xfId="0" applyNumberFormat="1" applyFont="1" applyFill="1" applyBorder="1" applyAlignment="1">
      <alignment horizontal="center"/>
    </xf>
    <xf numFmtId="9" fontId="0" fillId="9" borderId="17" xfId="0" applyNumberFormat="1" applyFont="1" applyFill="1" applyBorder="1" applyAlignment="1">
      <alignment horizontal="center"/>
    </xf>
    <xf numFmtId="9" fontId="0" fillId="10" borderId="17" xfId="0" applyNumberFormat="1" applyFont="1" applyFill="1" applyBorder="1" applyAlignment="1">
      <alignment horizontal="center"/>
    </xf>
    <xf numFmtId="0" fontId="13" fillId="4" borderId="18" xfId="0" applyFont="1" applyFill="1" applyBorder="1" applyAlignment="1">
      <alignment/>
    </xf>
    <xf numFmtId="1" fontId="0" fillId="0" borderId="5" xfId="0" applyNumberFormat="1" applyBorder="1" applyAlignment="1">
      <alignment horizontal="center"/>
    </xf>
    <xf numFmtId="1" fontId="0" fillId="0" borderId="7" xfId="0" applyNumberFormat="1" applyBorder="1" applyAlignment="1">
      <alignment horizontal="center"/>
    </xf>
    <xf numFmtId="1" fontId="0" fillId="0" borderId="6" xfId="0" applyNumberFormat="1" applyBorder="1" applyAlignment="1">
      <alignment horizontal="center"/>
    </xf>
    <xf numFmtId="0" fontId="0" fillId="0" borderId="6" xfId="0" applyNumberFormat="1" applyFont="1" applyFill="1" applyBorder="1" applyAlignment="1">
      <alignment horizontal="center"/>
    </xf>
    <xf numFmtId="165" fontId="9" fillId="11" borderId="17" xfId="0" applyNumberFormat="1" applyFont="1" applyFill="1" applyBorder="1" applyAlignment="1">
      <alignment horizontal="left" vertical="center"/>
    </xf>
    <xf numFmtId="165" fontId="9" fillId="7" borderId="17" xfId="0" applyNumberFormat="1" applyFont="1" applyFill="1" applyBorder="1" applyAlignment="1">
      <alignment horizontal="left" vertical="center"/>
    </xf>
    <xf numFmtId="49" fontId="0" fillId="11" borderId="7" xfId="0" applyNumberFormat="1" applyFill="1" applyBorder="1" applyAlignment="1">
      <alignment horizontal="center"/>
    </xf>
    <xf numFmtId="49" fontId="0" fillId="7" borderId="7" xfId="0" applyNumberFormat="1" applyFill="1" applyBorder="1" applyAlignment="1">
      <alignment horizontal="center"/>
    </xf>
    <xf numFmtId="49" fontId="0" fillId="3" borderId="7" xfId="0" applyNumberFormat="1" applyFill="1" applyBorder="1" applyAlignment="1">
      <alignment horizontal="center"/>
    </xf>
    <xf numFmtId="49" fontId="0" fillId="7" borderId="19" xfId="0" applyNumberFormat="1" applyFill="1" applyBorder="1" applyAlignment="1">
      <alignment horizontal="center"/>
    </xf>
    <xf numFmtId="49" fontId="0" fillId="12" borderId="19" xfId="0" applyNumberFormat="1" applyFill="1" applyBorder="1" applyAlignment="1">
      <alignment horizontal="center"/>
    </xf>
    <xf numFmtId="49" fontId="0" fillId="3" borderId="19" xfId="0" applyNumberFormat="1" applyFill="1" applyBorder="1" applyAlignment="1">
      <alignment horizontal="center"/>
    </xf>
    <xf numFmtId="49" fontId="0" fillId="11" borderId="19" xfId="0" applyNumberFormat="1" applyFill="1" applyBorder="1" applyAlignment="1">
      <alignment horizontal="center"/>
    </xf>
    <xf numFmtId="0" fontId="0" fillId="0" borderId="12" xfId="0" applyNumberFormat="1" applyFill="1" applyBorder="1" applyAlignment="1">
      <alignment horizontal="center"/>
    </xf>
    <xf numFmtId="0" fontId="0" fillId="0" borderId="12" xfId="0" applyNumberFormat="1" applyFont="1" applyFill="1" applyBorder="1" applyAlignment="1">
      <alignment horizontal="center"/>
    </xf>
    <xf numFmtId="49" fontId="0" fillId="0" borderId="14" xfId="0" applyNumberFormat="1" applyFont="1" applyBorder="1" applyAlignment="1">
      <alignment horizontal="center"/>
    </xf>
    <xf numFmtId="0" fontId="6" fillId="0" borderId="0" xfId="0" applyFont="1" applyFill="1" applyBorder="1" applyAlignment="1">
      <alignment/>
    </xf>
    <xf numFmtId="9" fontId="0" fillId="13" borderId="17" xfId="0" applyNumberFormat="1" applyFont="1" applyFill="1" applyBorder="1" applyAlignment="1">
      <alignment horizontal="center"/>
    </xf>
    <xf numFmtId="49" fontId="9" fillId="11" borderId="17" xfId="0" applyNumberFormat="1" applyFont="1" applyFill="1" applyBorder="1" applyAlignment="1">
      <alignment vertical="center"/>
    </xf>
    <xf numFmtId="49" fontId="9" fillId="7" borderId="17" xfId="0" applyNumberFormat="1" applyFont="1" applyFill="1" applyBorder="1" applyAlignment="1">
      <alignment vertical="center"/>
    </xf>
    <xf numFmtId="49" fontId="9" fillId="3" borderId="17" xfId="0" applyNumberFormat="1" applyFont="1" applyFill="1" applyBorder="1" applyAlignment="1">
      <alignment vertical="center"/>
    </xf>
    <xf numFmtId="49" fontId="9" fillId="11" borderId="17" xfId="0" applyNumberFormat="1" applyFont="1" applyFill="1" applyBorder="1" applyAlignment="1">
      <alignment horizontal="center" vertical="center"/>
    </xf>
    <xf numFmtId="49" fontId="9" fillId="7" borderId="17" xfId="0" applyNumberFormat="1" applyFont="1" applyFill="1" applyBorder="1" applyAlignment="1">
      <alignment horizontal="center" vertical="center"/>
    </xf>
    <xf numFmtId="49" fontId="9" fillId="3" borderId="17" xfId="0" applyNumberFormat="1" applyFont="1" applyFill="1" applyBorder="1" applyAlignment="1">
      <alignment horizontal="center" vertical="center"/>
    </xf>
    <xf numFmtId="49" fontId="0" fillId="11" borderId="6" xfId="0" applyNumberFormat="1" applyFill="1" applyBorder="1" applyAlignment="1">
      <alignment horizontal="center"/>
    </xf>
    <xf numFmtId="49" fontId="0" fillId="12" borderId="20" xfId="0" applyNumberFormat="1" applyFill="1" applyBorder="1" applyAlignment="1">
      <alignment horizontal="center"/>
    </xf>
    <xf numFmtId="49" fontId="0" fillId="11" borderId="21" xfId="0" applyNumberFormat="1" applyFill="1" applyBorder="1" applyAlignment="1">
      <alignment horizontal="center"/>
    </xf>
    <xf numFmtId="165" fontId="9" fillId="3" borderId="17" xfId="0" applyNumberFormat="1" applyFont="1" applyFill="1" applyBorder="1" applyAlignment="1">
      <alignment horizontal="center" vertical="center"/>
    </xf>
    <xf numFmtId="172" fontId="0" fillId="0" borderId="5" xfId="0" applyNumberFormat="1" applyBorder="1" applyAlignment="1">
      <alignment/>
    </xf>
    <xf numFmtId="172" fontId="0" fillId="0" borderId="0" xfId="0" applyNumberFormat="1" applyAlignment="1">
      <alignment/>
    </xf>
    <xf numFmtId="172" fontId="0" fillId="0" borderId="0" xfId="0" applyNumberFormat="1" applyBorder="1" applyAlignment="1">
      <alignment/>
    </xf>
    <xf numFmtId="168" fontId="0" fillId="0" borderId="14" xfId="0" applyNumberFormat="1" applyBorder="1" applyAlignment="1">
      <alignment/>
    </xf>
    <xf numFmtId="168" fontId="0" fillId="0" borderId="14" xfId="0" applyNumberFormat="1" applyFont="1" applyBorder="1" applyAlignment="1">
      <alignment/>
    </xf>
    <xf numFmtId="0" fontId="6" fillId="14" borderId="22" xfId="0" applyFont="1" applyFill="1" applyBorder="1" applyAlignment="1" quotePrefix="1">
      <alignment horizontal="center"/>
    </xf>
    <xf numFmtId="9" fontId="5" fillId="2" borderId="0" xfId="0" applyNumberFormat="1" applyFont="1" applyFill="1" applyBorder="1" applyAlignment="1">
      <alignment horizontal="left"/>
    </xf>
    <xf numFmtId="0" fontId="0" fillId="2" borderId="9" xfId="0" applyFont="1" applyFill="1" applyBorder="1" applyAlignment="1">
      <alignment/>
    </xf>
    <xf numFmtId="0" fontId="0" fillId="0" borderId="0" xfId="0" applyFill="1" applyBorder="1" applyAlignment="1">
      <alignment horizontal="right"/>
    </xf>
    <xf numFmtId="172" fontId="0" fillId="0" borderId="12" xfId="0" applyNumberFormat="1" applyBorder="1" applyAlignment="1">
      <alignment/>
    </xf>
    <xf numFmtId="172" fontId="6" fillId="0" borderId="0" xfId="0" applyNumberFormat="1" applyFont="1" applyAlignment="1">
      <alignment/>
    </xf>
    <xf numFmtId="172" fontId="0" fillId="0" borderId="14" xfId="0" applyNumberFormat="1" applyBorder="1" applyAlignment="1">
      <alignment/>
    </xf>
    <xf numFmtId="172" fontId="0" fillId="0" borderId="0" xfId="0" applyNumberFormat="1" applyFont="1" applyBorder="1" applyAlignment="1">
      <alignment/>
    </xf>
    <xf numFmtId="0" fontId="0" fillId="0" borderId="22" xfId="0" applyBorder="1" applyAlignment="1">
      <alignment/>
    </xf>
    <xf numFmtId="171" fontId="0" fillId="0" borderId="0" xfId="0" applyNumberFormat="1" applyFont="1" applyFill="1" applyBorder="1" applyAlignment="1">
      <alignment horizontal="right"/>
    </xf>
    <xf numFmtId="169" fontId="10" fillId="0" borderId="0" xfId="0" applyNumberFormat="1" applyFont="1" applyAlignment="1">
      <alignment/>
    </xf>
    <xf numFmtId="1" fontId="0" fillId="0" borderId="7" xfId="0" applyNumberFormat="1" applyFill="1" applyBorder="1" applyAlignment="1">
      <alignment horizontal="center"/>
    </xf>
    <xf numFmtId="0" fontId="0" fillId="4" borderId="0" xfId="0" applyFill="1" applyAlignment="1">
      <alignment/>
    </xf>
    <xf numFmtId="0" fontId="12" fillId="5" borderId="23" xfId="0" applyFont="1" applyFill="1" applyBorder="1" applyAlignment="1">
      <alignment/>
    </xf>
    <xf numFmtId="0" fontId="9" fillId="4" borderId="18" xfId="0" applyFont="1" applyFill="1" applyBorder="1" applyAlignment="1">
      <alignment/>
    </xf>
    <xf numFmtId="0" fontId="13" fillId="4" borderId="0" xfId="0" applyFont="1" applyFill="1" applyAlignment="1">
      <alignment/>
    </xf>
    <xf numFmtId="0" fontId="9" fillId="6" borderId="2" xfId="0" applyFont="1" applyFill="1" applyBorder="1" applyAlignment="1">
      <alignment/>
    </xf>
    <xf numFmtId="0" fontId="9" fillId="7" borderId="2" xfId="0" applyFont="1" applyFill="1" applyBorder="1" applyAlignment="1">
      <alignment/>
    </xf>
    <xf numFmtId="0" fontId="9" fillId="15" borderId="2" xfId="0" applyFont="1" applyFill="1" applyBorder="1" applyAlignment="1">
      <alignment/>
    </xf>
    <xf numFmtId="0" fontId="9" fillId="7" borderId="15" xfId="0" applyFont="1" applyFill="1" applyBorder="1" applyAlignment="1">
      <alignment/>
    </xf>
    <xf numFmtId="0" fontId="9" fillId="0" borderId="15" xfId="0" applyNumberFormat="1" applyFont="1" applyFill="1" applyBorder="1" applyAlignment="1">
      <alignment/>
    </xf>
    <xf numFmtId="0" fontId="9" fillId="15" borderId="15" xfId="0" applyFont="1" applyFill="1" applyBorder="1" applyAlignment="1">
      <alignment/>
    </xf>
    <xf numFmtId="176" fontId="0" fillId="0" borderId="0" xfId="0" applyNumberFormat="1" applyAlignment="1">
      <alignment/>
    </xf>
    <xf numFmtId="176" fontId="0" fillId="0" borderId="0" xfId="0" applyNumberFormat="1" applyFont="1" applyAlignment="1">
      <alignment/>
    </xf>
    <xf numFmtId="175" fontId="0" fillId="0" borderId="14" xfId="0" applyNumberFormat="1" applyBorder="1" applyAlignment="1">
      <alignment/>
    </xf>
    <xf numFmtId="175" fontId="0" fillId="0" borderId="24" xfId="0" applyNumberFormat="1" applyBorder="1" applyAlignment="1">
      <alignment/>
    </xf>
    <xf numFmtId="49" fontId="5" fillId="2" borderId="0" xfId="0" applyNumberFormat="1" applyFont="1" applyFill="1" applyAlignment="1">
      <alignment horizontal="center"/>
    </xf>
    <xf numFmtId="49" fontId="5" fillId="2" borderId="9" xfId="0" applyNumberFormat="1" applyFont="1" applyFill="1" applyBorder="1" applyAlignment="1">
      <alignment horizontal="center"/>
    </xf>
    <xf numFmtId="0" fontId="0" fillId="0" borderId="0" xfId="0" applyAlignment="1">
      <alignment horizontal="right"/>
    </xf>
    <xf numFmtId="0" fontId="0" fillId="0" borderId="0" xfId="0" applyFont="1" applyAlignment="1">
      <alignment horizontal="right"/>
    </xf>
    <xf numFmtId="164" fontId="0" fillId="0" borderId="0" xfId="0" applyNumberFormat="1" applyFont="1" applyFill="1" applyBorder="1" applyAlignment="1">
      <alignment/>
    </xf>
    <xf numFmtId="0" fontId="0" fillId="2" borderId="0" xfId="0" applyFont="1" applyFill="1" applyBorder="1" applyAlignment="1">
      <alignment/>
    </xf>
    <xf numFmtId="0" fontId="11" fillId="2" borderId="2" xfId="0" applyFont="1" applyFill="1" applyBorder="1" applyAlignment="1" quotePrefix="1">
      <alignment horizontal="center"/>
    </xf>
    <xf numFmtId="0" fontId="11" fillId="2" borderId="10" xfId="0" applyFont="1" applyFill="1" applyBorder="1" applyAlignment="1" quotePrefix="1">
      <alignment horizontal="center"/>
    </xf>
    <xf numFmtId="0" fontId="9" fillId="0" borderId="0" xfId="0" applyFont="1" applyFill="1" applyBorder="1" applyAlignment="1">
      <alignment horizontal="center"/>
    </xf>
    <xf numFmtId="170" fontId="0" fillId="0" borderId="0" xfId="0" applyNumberFormat="1" applyBorder="1" applyAlignment="1">
      <alignment horizontal="center"/>
    </xf>
    <xf numFmtId="170" fontId="0" fillId="0" borderId="0" xfId="0" applyNumberFormat="1" applyFont="1" applyBorder="1" applyAlignment="1">
      <alignment horizontal="center"/>
    </xf>
    <xf numFmtId="170" fontId="0" fillId="0" borderId="4" xfId="0" applyNumberFormat="1" applyBorder="1" applyAlignment="1">
      <alignment horizontal="center"/>
    </xf>
    <xf numFmtId="173" fontId="0" fillId="0" borderId="5" xfId="0" applyNumberFormat="1" applyBorder="1" applyAlignment="1">
      <alignment/>
    </xf>
    <xf numFmtId="173" fontId="0" fillId="0" borderId="5" xfId="0" applyNumberFormat="1" applyFont="1" applyBorder="1" applyAlignment="1">
      <alignment/>
    </xf>
    <xf numFmtId="165" fontId="0" fillId="16" borderId="3" xfId="0" applyNumberFormat="1" applyFont="1" applyFill="1" applyBorder="1" applyAlignment="1">
      <alignment/>
    </xf>
    <xf numFmtId="165" fontId="0" fillId="16" borderId="3" xfId="0" applyNumberFormat="1" applyFill="1" applyBorder="1" applyAlignment="1">
      <alignment/>
    </xf>
    <xf numFmtId="174" fontId="0" fillId="16" borderId="1" xfId="0" applyNumberFormat="1" applyFont="1" applyFill="1" applyBorder="1" applyAlignment="1">
      <alignment/>
    </xf>
    <xf numFmtId="174" fontId="0" fillId="16" borderId="1" xfId="0" applyNumberFormat="1" applyFill="1" applyBorder="1" applyAlignment="1">
      <alignment/>
    </xf>
    <xf numFmtId="0" fontId="0" fillId="16" borderId="3" xfId="0" applyFill="1" applyBorder="1" applyAlignment="1">
      <alignment horizontal="right"/>
    </xf>
    <xf numFmtId="0" fontId="14" fillId="16" borderId="3" xfId="15" applyNumberFormat="1" applyFont="1" applyFill="1" applyBorder="1" applyAlignment="1">
      <alignment horizontal="right"/>
    </xf>
    <xf numFmtId="0" fontId="0" fillId="16" borderId="1" xfId="0" applyNumberFormat="1" applyFill="1" applyBorder="1" applyAlignment="1">
      <alignment horizontal="right"/>
    </xf>
    <xf numFmtId="0" fontId="0" fillId="16" borderId="1" xfId="0" applyFont="1" applyFill="1" applyBorder="1" applyAlignment="1">
      <alignment horizontal="right"/>
    </xf>
    <xf numFmtId="165" fontId="5" fillId="2" borderId="0" xfId="0" applyNumberFormat="1" applyFont="1" applyFill="1" applyBorder="1" applyAlignment="1">
      <alignment horizontal="center"/>
    </xf>
    <xf numFmtId="164" fontId="5" fillId="2" borderId="0" xfId="0" applyNumberFormat="1" applyFont="1" applyFill="1" applyBorder="1" applyAlignment="1">
      <alignment/>
    </xf>
    <xf numFmtId="0" fontId="0" fillId="16" borderId="3" xfId="0" applyNumberFormat="1" applyFont="1" applyFill="1" applyBorder="1" applyAlignment="1">
      <alignment horizontal="right"/>
    </xf>
    <xf numFmtId="0" fontId="8" fillId="0" borderId="4" xfId="0" applyNumberFormat="1" applyFont="1" applyFill="1" applyBorder="1" applyAlignment="1">
      <alignment horizontal="center"/>
    </xf>
    <xf numFmtId="0" fontId="8" fillId="0" borderId="7" xfId="0" applyNumberFormat="1" applyFont="1" applyFill="1" applyBorder="1" applyAlignment="1">
      <alignment horizontal="center"/>
    </xf>
    <xf numFmtId="0" fontId="8" fillId="0" borderId="6" xfId="0" applyNumberFormat="1" applyFont="1" applyFill="1" applyBorder="1" applyAlignment="1">
      <alignment horizontal="center"/>
    </xf>
    <xf numFmtId="0" fontId="8" fillId="0" borderId="5" xfId="0" applyNumberFormat="1" applyFont="1" applyFill="1" applyBorder="1" applyAlignment="1">
      <alignment horizontal="center"/>
    </xf>
    <xf numFmtId="0" fontId="0" fillId="0" borderId="1" xfId="0" applyNumberFormat="1" applyFont="1" applyFill="1" applyBorder="1" applyAlignment="1">
      <alignment/>
    </xf>
    <xf numFmtId="0" fontId="0" fillId="0" borderId="3" xfId="0" applyNumberFormat="1" applyFont="1" applyFill="1" applyBorder="1" applyAlignment="1">
      <alignment/>
    </xf>
    <xf numFmtId="172" fontId="0" fillId="0" borderId="5" xfId="0" applyNumberFormat="1" applyFont="1" applyFill="1" applyBorder="1" applyAlignment="1">
      <alignment/>
    </xf>
    <xf numFmtId="0" fontId="0" fillId="4" borderId="0" xfId="0" applyNumberFormat="1" applyFont="1" applyFill="1" applyBorder="1" applyAlignment="1">
      <alignment/>
    </xf>
    <xf numFmtId="175" fontId="0" fillId="0" borderId="14" xfId="0" applyNumberFormat="1" applyFont="1" applyFill="1" applyBorder="1" applyAlignment="1">
      <alignment/>
    </xf>
    <xf numFmtId="172" fontId="0" fillId="0" borderId="0" xfId="0" applyNumberFormat="1" applyFont="1" applyFill="1" applyBorder="1" applyAlignment="1">
      <alignment/>
    </xf>
    <xf numFmtId="165" fontId="0" fillId="16" borderId="3" xfId="0" applyNumberFormat="1" applyFont="1" applyFill="1" applyBorder="1" applyAlignment="1">
      <alignment/>
    </xf>
    <xf numFmtId="170" fontId="0" fillId="0" borderId="0" xfId="0" applyNumberFormat="1" applyFont="1" applyFill="1" applyBorder="1" applyAlignment="1">
      <alignment horizontal="center"/>
    </xf>
    <xf numFmtId="0" fontId="0" fillId="16" borderId="1" xfId="0" applyNumberFormat="1" applyFont="1" applyFill="1" applyBorder="1" applyAlignment="1">
      <alignment horizontal="right"/>
    </xf>
    <xf numFmtId="173" fontId="0" fillId="0" borderId="5" xfId="0" applyNumberFormat="1" applyFont="1" applyFill="1" applyBorder="1" applyAlignment="1">
      <alignment/>
    </xf>
    <xf numFmtId="168" fontId="0" fillId="0" borderId="14" xfId="0" applyNumberFormat="1" applyFont="1" applyFill="1" applyBorder="1" applyAlignment="1">
      <alignment/>
    </xf>
    <xf numFmtId="174" fontId="0" fillId="16" borderId="1" xfId="0" applyNumberFormat="1" applyFont="1" applyFill="1" applyBorder="1" applyAlignment="1">
      <alignment/>
    </xf>
    <xf numFmtId="1" fontId="0" fillId="0" borderId="5" xfId="0" applyNumberFormat="1" applyFont="1" applyFill="1" applyBorder="1" applyAlignment="1">
      <alignment horizontal="center"/>
    </xf>
    <xf numFmtId="1" fontId="0" fillId="0" borderId="7" xfId="0" applyNumberFormat="1" applyFont="1" applyFill="1" applyBorder="1" applyAlignment="1">
      <alignment horizontal="center"/>
    </xf>
    <xf numFmtId="1" fontId="0" fillId="0" borderId="6" xfId="0" applyNumberFormat="1" applyFont="1" applyFill="1" applyBorder="1" applyAlignment="1">
      <alignment horizontal="center"/>
    </xf>
    <xf numFmtId="0" fontId="6" fillId="0" borderId="2" xfId="0" applyNumberFormat="1" applyFont="1" applyFill="1" applyBorder="1" applyAlignment="1">
      <alignment/>
    </xf>
    <xf numFmtId="0" fontId="6" fillId="0" borderId="1" xfId="0" applyNumberFormat="1" applyFont="1" applyFill="1" applyBorder="1" applyAlignment="1">
      <alignment/>
    </xf>
    <xf numFmtId="0" fontId="6" fillId="14" borderId="22" xfId="0" applyNumberFormat="1" applyFont="1" applyFill="1" applyBorder="1" applyAlignment="1">
      <alignment horizontal="center"/>
    </xf>
    <xf numFmtId="0" fontId="9" fillId="4" borderId="0" xfId="0" applyNumberFormat="1" applyFont="1" applyFill="1" applyBorder="1" applyAlignment="1">
      <alignment/>
    </xf>
    <xf numFmtId="0" fontId="0" fillId="0" borderId="3" xfId="0" applyFont="1" applyFill="1" applyBorder="1" applyAlignment="1">
      <alignment/>
    </xf>
    <xf numFmtId="0" fontId="0" fillId="0" borderId="0" xfId="0" applyNumberFormat="1" applyFont="1" applyBorder="1" applyAlignment="1">
      <alignment horizontal="center"/>
    </xf>
    <xf numFmtId="49" fontId="0" fillId="0" borderId="14" xfId="0" applyNumberFormat="1" applyBorder="1" applyAlignment="1">
      <alignment horizontal="center"/>
    </xf>
    <xf numFmtId="0" fontId="0" fillId="0" borderId="14" xfId="0" applyNumberFormat="1" applyFont="1" applyFill="1" applyBorder="1" applyAlignment="1">
      <alignment horizontal="center"/>
    </xf>
    <xf numFmtId="0" fontId="0" fillId="0" borderId="4" xfId="0" applyNumberFormat="1" applyFont="1" applyFill="1" applyBorder="1" applyAlignment="1">
      <alignment horizontal="center"/>
    </xf>
    <xf numFmtId="0" fontId="0" fillId="0" borderId="7" xfId="0" applyNumberFormat="1" applyFont="1" applyFill="1" applyBorder="1" applyAlignment="1">
      <alignment horizontal="center"/>
    </xf>
    <xf numFmtId="0" fontId="0" fillId="0" borderId="6" xfId="0" applyNumberFormat="1" applyFont="1" applyFill="1" applyBorder="1" applyAlignment="1">
      <alignment horizontal="center"/>
    </xf>
    <xf numFmtId="0" fontId="0" fillId="0" borderId="5" xfId="0" applyNumberFormat="1" applyFont="1" applyFill="1" applyBorder="1" applyAlignment="1">
      <alignment horizontal="center"/>
    </xf>
    <xf numFmtId="176" fontId="0" fillId="0" borderId="0" xfId="0" applyNumberFormat="1" applyFont="1" applyFill="1" applyBorder="1" applyAlignment="1">
      <alignment/>
    </xf>
    <xf numFmtId="0" fontId="0" fillId="3" borderId="12" xfId="0" applyFill="1" applyBorder="1" applyAlignment="1">
      <alignment horizontal="center"/>
    </xf>
    <xf numFmtId="0" fontId="0" fillId="0" borderId="12" xfId="0" applyBorder="1" applyAlignment="1">
      <alignment horizontal="center"/>
    </xf>
    <xf numFmtId="0" fontId="0" fillId="0" borderId="22" xfId="0" applyFont="1" applyFill="1" applyBorder="1" applyAlignment="1">
      <alignment horizontal="center"/>
    </xf>
    <xf numFmtId="0" fontId="0" fillId="0" borderId="12" xfId="0" applyFont="1" applyFill="1" applyBorder="1" applyAlignment="1">
      <alignment horizontal="center"/>
    </xf>
    <xf numFmtId="0" fontId="8" fillId="0" borderId="12" xfId="0" applyNumberFormat="1" applyFont="1" applyFill="1" applyBorder="1" applyAlignment="1">
      <alignment horizontal="center"/>
    </xf>
    <xf numFmtId="0" fontId="0" fillId="3" borderId="12" xfId="0" applyNumberFormat="1" applyFont="1" applyFill="1" applyBorder="1" applyAlignment="1">
      <alignment horizontal="center"/>
    </xf>
    <xf numFmtId="0" fontId="0" fillId="0" borderId="22" xfId="0" applyFill="1" applyBorder="1" applyAlignment="1">
      <alignment horizontal="center"/>
    </xf>
    <xf numFmtId="0" fontId="8" fillId="0" borderId="22" xfId="0" applyNumberFormat="1" applyFont="1" applyFill="1" applyBorder="1" applyAlignment="1">
      <alignment horizontal="center"/>
    </xf>
    <xf numFmtId="0" fontId="0" fillId="0" borderId="22" xfId="0" applyNumberFormat="1" applyFont="1" applyFill="1" applyBorder="1" applyAlignment="1">
      <alignment horizontal="center"/>
    </xf>
    <xf numFmtId="0" fontId="0" fillId="0" borderId="0" xfId="0" applyNumberFormat="1" applyFont="1" applyFill="1" applyBorder="1" applyAlignment="1">
      <alignment horizontal="right"/>
    </xf>
    <xf numFmtId="0" fontId="9" fillId="4" borderId="0" xfId="0" applyFont="1" applyFill="1" applyAlignment="1">
      <alignment/>
    </xf>
    <xf numFmtId="0" fontId="8" fillId="0" borderId="0" xfId="0" applyNumberFormat="1" applyFont="1" applyFill="1" applyBorder="1" applyAlignment="1">
      <alignment horizontal="right"/>
    </xf>
    <xf numFmtId="0" fontId="12" fillId="2" borderId="0" xfId="0" applyFont="1" applyFill="1" applyBorder="1" applyAlignment="1">
      <alignment horizontal="center"/>
    </xf>
    <xf numFmtId="0" fontId="5" fillId="2" borderId="0" xfId="0" applyFont="1" applyFill="1" applyBorder="1" applyAlignment="1">
      <alignment/>
    </xf>
    <xf numFmtId="9" fontId="5" fillId="2" borderId="0" xfId="0" applyNumberFormat="1" applyFont="1" applyFill="1" applyBorder="1" applyAlignment="1">
      <alignment horizontal="center"/>
    </xf>
    <xf numFmtId="0" fontId="5" fillId="2" borderId="0" xfId="0" applyNumberFormat="1" applyFont="1" applyFill="1" applyBorder="1" applyAlignment="1">
      <alignment horizontal="center"/>
    </xf>
    <xf numFmtId="0" fontId="5" fillId="2" borderId="0" xfId="0" applyFont="1" applyFill="1" applyBorder="1" applyAlignment="1">
      <alignment horizontal="center" wrapText="1"/>
    </xf>
    <xf numFmtId="0" fontId="6" fillId="2" borderId="0" xfId="0" applyFont="1" applyFill="1" applyBorder="1" applyAlignment="1">
      <alignment horizontal="center"/>
    </xf>
    <xf numFmtId="164" fontId="5" fillId="2" borderId="0" xfId="0" applyNumberFormat="1" applyFont="1" applyFill="1" applyBorder="1" applyAlignment="1">
      <alignment horizontal="left"/>
    </xf>
    <xf numFmtId="164" fontId="5" fillId="2" borderId="0" xfId="0" applyNumberFormat="1" applyFont="1" applyFill="1" applyBorder="1" applyAlignment="1">
      <alignment horizontal="center"/>
    </xf>
    <xf numFmtId="166" fontId="5" fillId="2" borderId="0" xfId="0" applyNumberFormat="1" applyFont="1" applyFill="1" applyBorder="1" applyAlignment="1">
      <alignment horizontal="center"/>
    </xf>
    <xf numFmtId="49" fontId="11" fillId="2" borderId="2" xfId="0" applyNumberFormat="1" applyFont="1" applyFill="1" applyBorder="1" applyAlignment="1">
      <alignment horizontal="center" textRotation="90"/>
    </xf>
    <xf numFmtId="49" fontId="11" fillId="2" borderId="1" xfId="0" applyNumberFormat="1" applyFont="1" applyFill="1" applyBorder="1" applyAlignment="1">
      <alignment horizontal="center" textRotation="90"/>
    </xf>
    <xf numFmtId="1" fontId="5" fillId="2" borderId="0" xfId="0" applyNumberFormat="1" applyFont="1" applyFill="1" applyBorder="1" applyAlignment="1">
      <alignment/>
    </xf>
    <xf numFmtId="0" fontId="11" fillId="2" borderId="0" xfId="0" applyFont="1" applyFill="1" applyBorder="1" applyAlignment="1">
      <alignment/>
    </xf>
    <xf numFmtId="166" fontId="12" fillId="2" borderId="0" xfId="0" applyNumberFormat="1" applyFont="1" applyFill="1" applyBorder="1" applyAlignment="1">
      <alignment horizontal="center"/>
    </xf>
    <xf numFmtId="0" fontId="5"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5" fillId="2" borderId="0" xfId="0" applyFont="1" applyFill="1" applyBorder="1" applyAlignment="1">
      <alignment horizontal="left" vertical="center"/>
    </xf>
    <xf numFmtId="0" fontId="5" fillId="2" borderId="2" xfId="0" applyFont="1" applyFill="1" applyBorder="1" applyAlignment="1">
      <alignment horizontal="center" vertical="center"/>
    </xf>
    <xf numFmtId="9" fontId="0" fillId="8" borderId="25" xfId="0" applyNumberFormat="1" applyFont="1" applyFill="1" applyBorder="1" applyAlignment="1">
      <alignment horizontal="center" vertical="center"/>
    </xf>
    <xf numFmtId="9" fontId="0" fillId="13" borderId="25" xfId="0" applyNumberFormat="1" applyFont="1" applyFill="1" applyBorder="1" applyAlignment="1">
      <alignment horizontal="center" vertical="center"/>
    </xf>
    <xf numFmtId="9" fontId="0" fillId="9" borderId="25" xfId="0" applyNumberFormat="1" applyFont="1" applyFill="1" applyBorder="1" applyAlignment="1">
      <alignment horizontal="center" vertical="center"/>
    </xf>
    <xf numFmtId="9" fontId="0" fillId="10" borderId="25"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0" fillId="2" borderId="0" xfId="0" applyFont="1" applyFill="1" applyBorder="1" applyAlignment="1">
      <alignment vertical="center"/>
    </xf>
    <xf numFmtId="0" fontId="6" fillId="2" borderId="2" xfId="0" applyFont="1" applyFill="1" applyBorder="1" applyAlignment="1">
      <alignment vertical="center"/>
    </xf>
    <xf numFmtId="0" fontId="5" fillId="2" borderId="1" xfId="0" applyFont="1" applyFill="1" applyBorder="1" applyAlignment="1">
      <alignment horizontal="center" vertical="center" wrapText="1"/>
    </xf>
    <xf numFmtId="0" fontId="5" fillId="2" borderId="0" xfId="0" applyFont="1" applyFill="1" applyBorder="1" applyAlignment="1">
      <alignment vertical="center"/>
    </xf>
    <xf numFmtId="0" fontId="5" fillId="2" borderId="0" xfId="0" applyFont="1" applyFill="1" applyBorder="1" applyAlignment="1">
      <alignment horizontal="left" vertical="center" wrapText="1"/>
    </xf>
    <xf numFmtId="0" fontId="6" fillId="2" borderId="0" xfId="0" applyFont="1" applyFill="1" applyBorder="1" applyAlignment="1">
      <alignment vertical="center"/>
    </xf>
    <xf numFmtId="164" fontId="5" fillId="2" borderId="0" xfId="0" applyNumberFormat="1" applyFont="1" applyFill="1" applyBorder="1" applyAlignment="1">
      <alignment horizontal="center" vertical="center"/>
    </xf>
    <xf numFmtId="49" fontId="5" fillId="2" borderId="0" xfId="0" applyNumberFormat="1" applyFont="1" applyFill="1" applyBorder="1" applyAlignment="1">
      <alignment vertical="center"/>
    </xf>
    <xf numFmtId="164" fontId="5" fillId="2" borderId="2" xfId="0" applyNumberFormat="1" applyFont="1" applyFill="1" applyBorder="1" applyAlignment="1">
      <alignment horizontal="center" vertical="center"/>
    </xf>
    <xf numFmtId="49" fontId="9" fillId="7" borderId="25" xfId="0" applyNumberFormat="1" applyFont="1" applyFill="1" applyBorder="1" applyAlignment="1">
      <alignment vertical="center"/>
    </xf>
    <xf numFmtId="49" fontId="9" fillId="3" borderId="25" xfId="0" applyNumberFormat="1" applyFont="1" applyFill="1" applyBorder="1" applyAlignment="1">
      <alignment vertical="center"/>
    </xf>
    <xf numFmtId="49" fontId="9" fillId="11" borderId="25" xfId="0" applyNumberFormat="1" applyFont="1" applyFill="1" applyBorder="1" applyAlignment="1">
      <alignment vertical="center"/>
    </xf>
    <xf numFmtId="164" fontId="11" fillId="2" borderId="1" xfId="0" applyNumberFormat="1" applyFont="1" applyFill="1" applyBorder="1" applyAlignment="1">
      <alignment vertical="center"/>
    </xf>
    <xf numFmtId="165" fontId="5" fillId="2" borderId="2" xfId="0" applyNumberFormat="1" applyFont="1" applyFill="1" applyBorder="1" applyAlignment="1">
      <alignment horizontal="center" vertical="center"/>
    </xf>
    <xf numFmtId="165" fontId="9" fillId="7" borderId="25" xfId="0" applyNumberFormat="1" applyFont="1" applyFill="1" applyBorder="1" applyAlignment="1">
      <alignment horizontal="left" vertical="center"/>
    </xf>
    <xf numFmtId="165" fontId="9" fillId="3" borderId="25" xfId="0" applyNumberFormat="1" applyFont="1" applyFill="1" applyBorder="1" applyAlignment="1">
      <alignment horizontal="center" vertical="center"/>
    </xf>
    <xf numFmtId="165" fontId="9" fillId="11" borderId="25" xfId="0" applyNumberFormat="1" applyFont="1" applyFill="1" applyBorder="1" applyAlignment="1">
      <alignment horizontal="left" vertical="center"/>
    </xf>
    <xf numFmtId="165" fontId="11" fillId="2" borderId="1" xfId="0" applyNumberFormat="1" applyFont="1" applyFill="1" applyBorder="1" applyAlignment="1">
      <alignment horizontal="center" vertical="center"/>
    </xf>
    <xf numFmtId="165" fontId="11" fillId="2" borderId="0"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2" borderId="0" xfId="0" applyFont="1" applyFill="1" applyBorder="1" applyAlignment="1">
      <alignment/>
    </xf>
    <xf numFmtId="166" fontId="12" fillId="2" borderId="0" xfId="0" applyNumberFormat="1" applyFont="1" applyFill="1" applyBorder="1" applyAlignment="1">
      <alignment horizontal="center" vertical="center"/>
    </xf>
    <xf numFmtId="0" fontId="5" fillId="2" borderId="9" xfId="0" applyFont="1" applyFill="1" applyBorder="1" applyAlignment="1">
      <alignment horizontal="center" vertical="center"/>
    </xf>
    <xf numFmtId="0" fontId="12" fillId="2" borderId="9" xfId="0" applyFont="1" applyFill="1" applyBorder="1" applyAlignment="1">
      <alignment horizontal="center" vertical="center"/>
    </xf>
    <xf numFmtId="9" fontId="0" fillId="8" borderId="16" xfId="0" applyNumberFormat="1" applyFont="1" applyFill="1" applyBorder="1" applyAlignment="1">
      <alignment horizontal="center" vertical="center"/>
    </xf>
    <xf numFmtId="9" fontId="0" fillId="13" borderId="16" xfId="0" applyNumberFormat="1" applyFont="1" applyFill="1" applyBorder="1" applyAlignment="1">
      <alignment horizontal="center" vertical="center"/>
    </xf>
    <xf numFmtId="9" fontId="0" fillId="9" borderId="16" xfId="0" applyNumberFormat="1" applyFont="1" applyFill="1" applyBorder="1" applyAlignment="1">
      <alignment horizontal="center" vertical="center"/>
    </xf>
    <xf numFmtId="9" fontId="0" fillId="10" borderId="16" xfId="0" applyNumberFormat="1" applyFont="1" applyFill="1" applyBorder="1" applyAlignment="1">
      <alignment horizontal="center" vertical="center"/>
    </xf>
    <xf numFmtId="0" fontId="6" fillId="2" borderId="10" xfId="0" applyFont="1" applyFill="1" applyBorder="1" applyAlignment="1">
      <alignment/>
    </xf>
    <xf numFmtId="0" fontId="5" fillId="2" borderId="11" xfId="0" applyFont="1" applyFill="1" applyBorder="1" applyAlignment="1">
      <alignment horizontal="center" vertical="center" wrapText="1"/>
    </xf>
    <xf numFmtId="0" fontId="5" fillId="2" borderId="9" xfId="0" applyFont="1" applyFill="1" applyBorder="1" applyAlignment="1">
      <alignment vertical="center"/>
    </xf>
    <xf numFmtId="0" fontId="6" fillId="2" borderId="9" xfId="0" applyFont="1" applyFill="1" applyBorder="1" applyAlignment="1">
      <alignment vertical="center"/>
    </xf>
    <xf numFmtId="164" fontId="5" fillId="2" borderId="0" xfId="0" applyNumberFormat="1" applyFont="1" applyFill="1" applyBorder="1" applyAlignment="1">
      <alignment vertical="center"/>
    </xf>
    <xf numFmtId="49" fontId="5" fillId="2" borderId="9" xfId="0" applyNumberFormat="1" applyFont="1" applyFill="1" applyBorder="1" applyAlignment="1">
      <alignment vertical="center"/>
    </xf>
    <xf numFmtId="164" fontId="5" fillId="2" borderId="10" xfId="0" applyNumberFormat="1" applyFont="1" applyFill="1" applyBorder="1" applyAlignment="1">
      <alignment vertical="center"/>
    </xf>
    <xf numFmtId="49" fontId="9" fillId="7" borderId="16" xfId="0" applyNumberFormat="1" applyFont="1" applyFill="1" applyBorder="1" applyAlignment="1">
      <alignment vertical="center"/>
    </xf>
    <xf numFmtId="49" fontId="9" fillId="3" borderId="16" xfId="0" applyNumberFormat="1" applyFont="1" applyFill="1" applyBorder="1" applyAlignment="1">
      <alignment vertical="center"/>
    </xf>
    <xf numFmtId="49" fontId="9" fillId="11" borderId="16" xfId="0" applyNumberFormat="1" applyFont="1" applyFill="1" applyBorder="1" applyAlignment="1">
      <alignment vertical="center"/>
    </xf>
    <xf numFmtId="164" fontId="11" fillId="2" borderId="11" xfId="0" applyNumberFormat="1" applyFont="1" applyFill="1" applyBorder="1" applyAlignment="1">
      <alignment vertical="center"/>
    </xf>
    <xf numFmtId="165" fontId="5" fillId="2" borderId="10" xfId="0" applyNumberFormat="1" applyFont="1" applyFill="1" applyBorder="1" applyAlignment="1">
      <alignment horizontal="center" vertical="center"/>
    </xf>
    <xf numFmtId="165" fontId="9" fillId="7" borderId="16" xfId="0" applyNumberFormat="1" applyFont="1" applyFill="1" applyBorder="1" applyAlignment="1">
      <alignment horizontal="left" vertical="center"/>
    </xf>
    <xf numFmtId="165" fontId="9" fillId="3" borderId="16" xfId="0" applyNumberFormat="1" applyFont="1" applyFill="1" applyBorder="1" applyAlignment="1">
      <alignment horizontal="center" vertical="center"/>
    </xf>
    <xf numFmtId="165" fontId="9" fillId="11" borderId="16" xfId="0" applyNumberFormat="1" applyFont="1" applyFill="1" applyBorder="1" applyAlignment="1">
      <alignment horizontal="left" vertical="center"/>
    </xf>
    <xf numFmtId="165" fontId="11" fillId="2" borderId="11" xfId="0" applyNumberFormat="1" applyFont="1" applyFill="1" applyBorder="1" applyAlignment="1">
      <alignment horizontal="center" vertical="center"/>
    </xf>
    <xf numFmtId="0" fontId="6" fillId="2" borderId="9" xfId="0" applyFont="1" applyFill="1" applyBorder="1" applyAlignment="1">
      <alignment horizontal="center"/>
    </xf>
    <xf numFmtId="166" fontId="5" fillId="2" borderId="9" xfId="0" applyNumberFormat="1"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11" fillId="2" borderId="9" xfId="0" applyNumberFormat="1" applyFont="1" applyFill="1" applyBorder="1" applyAlignment="1">
      <alignment horizontal="center" textRotation="90"/>
    </xf>
    <xf numFmtId="49" fontId="11" fillId="2" borderId="11" xfId="0" applyNumberFormat="1" applyFont="1" applyFill="1" applyBorder="1" applyAlignment="1">
      <alignment horizontal="center" textRotation="90"/>
    </xf>
    <xf numFmtId="1" fontId="5" fillId="2" borderId="9" xfId="0" applyNumberFormat="1" applyFont="1" applyFill="1" applyBorder="1" applyAlignment="1">
      <alignment/>
    </xf>
    <xf numFmtId="0" fontId="10" fillId="2" borderId="9" xfId="0" applyFont="1" applyFill="1" applyBorder="1" applyAlignment="1">
      <alignment/>
    </xf>
    <xf numFmtId="0" fontId="11" fillId="17" borderId="15" xfId="0" applyFont="1" applyFill="1" applyBorder="1" applyAlignment="1">
      <alignment/>
    </xf>
    <xf numFmtId="0" fontId="11" fillId="17" borderId="2" xfId="0" applyFont="1" applyFill="1" applyBorder="1" applyAlignment="1">
      <alignment/>
    </xf>
    <xf numFmtId="0" fontId="0" fillId="0" borderId="4" xfId="0" applyFont="1" applyFill="1" applyBorder="1" applyAlignment="1">
      <alignment horizontal="center"/>
    </xf>
    <xf numFmtId="0" fontId="0" fillId="0" borderId="7" xfId="0" applyFont="1" applyFill="1" applyBorder="1" applyAlignment="1">
      <alignment horizontal="center"/>
    </xf>
    <xf numFmtId="0" fontId="0" fillId="0" borderId="6" xfId="0" applyFont="1" applyFill="1" applyBorder="1" applyAlignment="1">
      <alignment horizontal="center"/>
    </xf>
    <xf numFmtId="0" fontId="0" fillId="0" borderId="5" xfId="0" applyFont="1" applyBorder="1" applyAlignment="1">
      <alignment horizontal="center"/>
    </xf>
    <xf numFmtId="0" fontId="0" fillId="0" borderId="26" xfId="0" applyFont="1" applyFill="1" applyBorder="1" applyAlignment="1">
      <alignment horizontal="center"/>
    </xf>
    <xf numFmtId="0" fontId="0" fillId="0" borderId="0" xfId="0" applyFont="1" applyFill="1" applyBorder="1" applyAlignment="1">
      <alignment horizontal="right"/>
    </xf>
    <xf numFmtId="0" fontId="9" fillId="16" borderId="3" xfId="0" applyFont="1" applyFill="1" applyBorder="1" applyAlignment="1">
      <alignment horizontal="right"/>
    </xf>
    <xf numFmtId="172" fontId="9" fillId="0" borderId="5" xfId="0" applyNumberFormat="1" applyFont="1" applyFill="1" applyBorder="1" applyAlignment="1">
      <alignment/>
    </xf>
    <xf numFmtId="172" fontId="21" fillId="0" borderId="12" xfId="0" applyNumberFormat="1" applyFont="1" applyBorder="1" applyAlignment="1">
      <alignment/>
    </xf>
    <xf numFmtId="175" fontId="20" fillId="0" borderId="24" xfId="0" applyNumberFormat="1" applyFont="1" applyBorder="1" applyAlignment="1">
      <alignment/>
    </xf>
    <xf numFmtId="172" fontId="20" fillId="0" borderId="14" xfId="0" applyNumberFormat="1" applyFont="1" applyBorder="1" applyAlignment="1">
      <alignment/>
    </xf>
    <xf numFmtId="172" fontId="20" fillId="0" borderId="27" xfId="0" applyNumberFormat="1" applyFont="1" applyBorder="1" applyAlignment="1">
      <alignment/>
    </xf>
    <xf numFmtId="0" fontId="9" fillId="0" borderId="22" xfId="0" applyNumberFormat="1" applyFont="1" applyBorder="1" applyAlignment="1">
      <alignment/>
    </xf>
    <xf numFmtId="0" fontId="9" fillId="16" borderId="3" xfId="0" applyFont="1" applyFill="1" applyBorder="1" applyAlignment="1">
      <alignment/>
    </xf>
    <xf numFmtId="173" fontId="9" fillId="0" borderId="28" xfId="0" applyNumberFormat="1" applyFont="1" applyBorder="1" applyAlignment="1">
      <alignment/>
    </xf>
    <xf numFmtId="169" fontId="10" fillId="0" borderId="0" xfId="0" applyNumberFormat="1" applyFont="1" applyBorder="1" applyAlignment="1">
      <alignment/>
    </xf>
    <xf numFmtId="0" fontId="10" fillId="0" borderId="1" xfId="0" applyFont="1" applyBorder="1" applyAlignment="1">
      <alignment/>
    </xf>
    <xf numFmtId="0" fontId="6" fillId="14" borderId="26" xfId="0" applyFont="1" applyFill="1" applyBorder="1" applyAlignment="1" quotePrefix="1">
      <alignment horizontal="center"/>
    </xf>
    <xf numFmtId="169" fontId="10" fillId="0" borderId="22" xfId="0" applyNumberFormat="1" applyFont="1" applyFill="1" applyBorder="1" applyAlignment="1">
      <alignment/>
    </xf>
    <xf numFmtId="49" fontId="0" fillId="0" borderId="29" xfId="0" applyNumberFormat="1" applyFont="1" applyFill="1" applyBorder="1" applyAlignment="1">
      <alignment horizontal="center"/>
    </xf>
    <xf numFmtId="176" fontId="9" fillId="0" borderId="0" xfId="0" applyNumberFormat="1" applyFont="1" applyAlignment="1">
      <alignment/>
    </xf>
    <xf numFmtId="0" fontId="22" fillId="0" borderId="5" xfId="0" applyNumberFormat="1" applyFont="1" applyFill="1" applyBorder="1" applyAlignment="1">
      <alignment horizontal="center"/>
    </xf>
    <xf numFmtId="170" fontId="0"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Font="1" applyAlignment="1">
      <alignment horizontal="center"/>
    </xf>
    <xf numFmtId="0" fontId="6" fillId="0" borderId="30" xfId="0" applyFont="1" applyFill="1" applyBorder="1" applyAlignment="1">
      <alignment/>
    </xf>
    <xf numFmtId="0" fontId="6" fillId="0" borderId="24" xfId="0" applyFont="1" applyFill="1" applyBorder="1" applyAlignment="1">
      <alignment/>
    </xf>
    <xf numFmtId="1" fontId="24" fillId="2" borderId="0" xfId="0" applyNumberFormat="1" applyFont="1" applyFill="1" applyAlignment="1">
      <alignment/>
    </xf>
    <xf numFmtId="166" fontId="9" fillId="0" borderId="0" xfId="0" applyNumberFormat="1" applyFont="1" applyBorder="1" applyAlignment="1">
      <alignment/>
    </xf>
    <xf numFmtId="166" fontId="9" fillId="0" borderId="31" xfId="0" applyNumberFormat="1" applyFont="1" applyBorder="1" applyAlignment="1">
      <alignment/>
    </xf>
    <xf numFmtId="166" fontId="9" fillId="0" borderId="2" xfId="0" applyNumberFormat="1" applyFont="1" applyBorder="1" applyAlignment="1">
      <alignment/>
    </xf>
    <xf numFmtId="0" fontId="9" fillId="7" borderId="18" xfId="0" applyFont="1" applyFill="1" applyBorder="1" applyAlignment="1">
      <alignment/>
    </xf>
    <xf numFmtId="0" fontId="0" fillId="0" borderId="12" xfId="0" applyFont="1" applyBorder="1" applyAlignment="1">
      <alignment horizontal="center"/>
    </xf>
    <xf numFmtId="0" fontId="0" fillId="0" borderId="3" xfId="0" applyFont="1" applyBorder="1" applyAlignment="1">
      <alignment/>
    </xf>
    <xf numFmtId="172" fontId="20" fillId="0" borderId="12" xfId="0" applyNumberFormat="1" applyFont="1" applyBorder="1" applyAlignment="1">
      <alignment/>
    </xf>
    <xf numFmtId="173" fontId="9" fillId="0" borderId="5" xfId="0" applyNumberFormat="1" applyFont="1" applyBorder="1" applyAlignment="1">
      <alignment/>
    </xf>
    <xf numFmtId="49" fontId="0" fillId="0" borderId="14" xfId="0" applyNumberFormat="1" applyFont="1" applyFill="1" applyBorder="1" applyAlignment="1">
      <alignment horizontal="center"/>
    </xf>
    <xf numFmtId="0" fontId="22" fillId="0" borderId="7" xfId="0" applyNumberFormat="1" applyFont="1" applyFill="1" applyBorder="1" applyAlignment="1">
      <alignment horizontal="center"/>
    </xf>
    <xf numFmtId="0" fontId="9" fillId="3" borderId="18" xfId="0" applyFont="1" applyFill="1" applyBorder="1" applyAlignment="1">
      <alignment/>
    </xf>
    <xf numFmtId="175" fontId="20" fillId="0" borderId="24" xfId="0" applyNumberFormat="1" applyFont="1" applyFill="1" applyBorder="1" applyAlignment="1">
      <alignment/>
    </xf>
    <xf numFmtId="0" fontId="21" fillId="0" borderId="1" xfId="0" applyFont="1" applyBorder="1" applyAlignment="1">
      <alignment/>
    </xf>
    <xf numFmtId="0" fontId="23" fillId="0" borderId="0" xfId="0" applyFont="1" applyFill="1" applyBorder="1" applyAlignment="1">
      <alignment/>
    </xf>
    <xf numFmtId="0" fontId="9" fillId="11" borderId="18" xfId="0" applyFont="1" applyFill="1" applyBorder="1" applyAlignment="1">
      <alignment/>
    </xf>
    <xf numFmtId="0" fontId="22" fillId="0" borderId="6" xfId="0" applyNumberFormat="1" applyFont="1" applyFill="1" applyBorder="1" applyAlignment="1">
      <alignment horizontal="center"/>
    </xf>
    <xf numFmtId="0" fontId="11" fillId="18" borderId="15" xfId="0" applyFont="1" applyFill="1" applyBorder="1" applyAlignment="1">
      <alignment/>
    </xf>
    <xf numFmtId="0" fontId="11" fillId="18" borderId="2" xfId="0" applyFont="1" applyFill="1" applyBorder="1" applyAlignment="1">
      <alignment/>
    </xf>
    <xf numFmtId="0" fontId="0" fillId="0" borderId="5" xfId="0" applyFill="1" applyBorder="1" applyAlignment="1">
      <alignment horizontal="center"/>
    </xf>
    <xf numFmtId="0" fontId="0" fillId="0" borderId="12" xfId="0" applyFill="1" applyBorder="1" applyAlignment="1">
      <alignment horizontal="center"/>
    </xf>
    <xf numFmtId="0" fontId="0" fillId="0" borderId="0" xfId="0" applyFont="1" applyFill="1" applyAlignment="1">
      <alignment horizontal="right"/>
    </xf>
    <xf numFmtId="172" fontId="10" fillId="0" borderId="12" xfId="0" applyNumberFormat="1" applyFont="1" applyBorder="1" applyAlignment="1">
      <alignment/>
    </xf>
    <xf numFmtId="170" fontId="0" fillId="3" borderId="5" xfId="0" applyNumberFormat="1" applyFont="1" applyFill="1" applyBorder="1" applyAlignment="1">
      <alignment horizontal="center"/>
    </xf>
    <xf numFmtId="170" fontId="0" fillId="3" borderId="7" xfId="0" applyNumberFormat="1" applyFont="1" applyFill="1" applyBorder="1" applyAlignment="1">
      <alignment horizontal="center"/>
    </xf>
    <xf numFmtId="1" fontId="12" fillId="2" borderId="0" xfId="0" applyNumberFormat="1" applyFont="1" applyFill="1" applyAlignment="1">
      <alignment/>
    </xf>
    <xf numFmtId="170" fontId="0" fillId="3" borderId="12" xfId="0" applyNumberFormat="1" applyFont="1" applyFill="1" applyBorder="1" applyAlignment="1">
      <alignment horizontal="center"/>
    </xf>
    <xf numFmtId="0" fontId="6" fillId="14" borderId="22" xfId="0" applyFont="1" applyFill="1" applyBorder="1" applyAlignment="1">
      <alignment horizontal="center"/>
    </xf>
    <xf numFmtId="0" fontId="11" fillId="19" borderId="15" xfId="0" applyFont="1" applyFill="1" applyBorder="1" applyAlignment="1">
      <alignment/>
    </xf>
    <xf numFmtId="0" fontId="11" fillId="19" borderId="2" xfId="0" applyFont="1" applyFill="1" applyBorder="1" applyAlignment="1">
      <alignment/>
    </xf>
    <xf numFmtId="172" fontId="9" fillId="0" borderId="5" xfId="0" applyNumberFormat="1" applyFont="1" applyBorder="1" applyAlignment="1">
      <alignment/>
    </xf>
    <xf numFmtId="172" fontId="10" fillId="0" borderId="12" xfId="0" applyNumberFormat="1" applyFont="1" applyBorder="1" applyAlignment="1">
      <alignment horizontal="right"/>
    </xf>
    <xf numFmtId="172" fontId="9" fillId="0" borderId="5" xfId="0" applyNumberFormat="1" applyFont="1" applyBorder="1" applyAlignment="1">
      <alignment horizontal="right"/>
    </xf>
    <xf numFmtId="0" fontId="9" fillId="20" borderId="15" xfId="0" applyFont="1" applyFill="1" applyBorder="1" applyAlignment="1">
      <alignment/>
    </xf>
    <xf numFmtId="0" fontId="9" fillId="20" borderId="2" xfId="0" applyFont="1" applyFill="1" applyBorder="1" applyAlignment="1">
      <alignment/>
    </xf>
    <xf numFmtId="0" fontId="0" fillId="0" borderId="0" xfId="0" applyFill="1" applyAlignment="1">
      <alignment horizontal="right"/>
    </xf>
    <xf numFmtId="0" fontId="0" fillId="16" borderId="3" xfId="0" applyFont="1" applyFill="1" applyBorder="1" applyAlignment="1">
      <alignment horizontal="right"/>
    </xf>
    <xf numFmtId="172" fontId="0" fillId="0" borderId="5" xfId="0" applyNumberFormat="1" applyFill="1" applyBorder="1" applyAlignment="1">
      <alignment/>
    </xf>
    <xf numFmtId="175" fontId="9" fillId="0" borderId="24" xfId="0" applyNumberFormat="1" applyFont="1" applyBorder="1" applyAlignment="1">
      <alignment/>
    </xf>
    <xf numFmtId="172" fontId="9" fillId="0" borderId="14" xfId="0" applyNumberFormat="1" applyFont="1" applyBorder="1" applyAlignment="1">
      <alignment/>
    </xf>
    <xf numFmtId="172" fontId="9" fillId="0" borderId="12" xfId="0" applyNumberFormat="1" applyFont="1" applyBorder="1" applyAlignment="1">
      <alignment/>
    </xf>
    <xf numFmtId="0" fontId="0" fillId="16" borderId="3" xfId="0" applyFont="1" applyFill="1" applyBorder="1" applyAlignment="1">
      <alignment/>
    </xf>
    <xf numFmtId="0" fontId="5" fillId="6" borderId="32" xfId="0" applyNumberFormat="1" applyFont="1" applyFill="1" applyBorder="1" applyAlignment="1">
      <alignment horizontal="center"/>
    </xf>
    <xf numFmtId="0" fontId="9" fillId="21" borderId="15" xfId="0" applyFont="1" applyFill="1" applyBorder="1" applyAlignment="1">
      <alignment/>
    </xf>
    <xf numFmtId="0" fontId="9" fillId="21" borderId="2" xfId="0" applyFont="1" applyFill="1" applyBorder="1" applyAlignment="1">
      <alignment/>
    </xf>
    <xf numFmtId="170" fontId="0" fillId="0" borderId="13" xfId="0" applyNumberFormat="1" applyBorder="1" applyAlignment="1">
      <alignment horizontal="center"/>
    </xf>
    <xf numFmtId="0" fontId="0" fillId="0" borderId="5" xfId="0" applyNumberFormat="1" applyFill="1" applyBorder="1" applyAlignment="1">
      <alignment horizontal="center"/>
    </xf>
    <xf numFmtId="0" fontId="0" fillId="0" borderId="6" xfId="0" applyNumberFormat="1" applyFill="1" applyBorder="1" applyAlignment="1">
      <alignment horizontal="center"/>
    </xf>
    <xf numFmtId="175" fontId="9" fillId="0" borderId="24" xfId="0" applyNumberFormat="1" applyFont="1" applyFill="1" applyBorder="1" applyAlignment="1">
      <alignment/>
    </xf>
    <xf numFmtId="172" fontId="20" fillId="0" borderId="14" xfId="0" applyNumberFormat="1" applyFont="1" applyFill="1" applyBorder="1" applyAlignment="1">
      <alignment/>
    </xf>
    <xf numFmtId="0" fontId="0" fillId="22" borderId="3" xfId="0" applyFont="1" applyFill="1" applyBorder="1" applyAlignment="1">
      <alignment horizontal="right"/>
    </xf>
    <xf numFmtId="0" fontId="0" fillId="22" borderId="3" xfId="0" applyFont="1" applyFill="1" applyBorder="1" applyAlignment="1">
      <alignment/>
    </xf>
    <xf numFmtId="0" fontId="9" fillId="23" borderId="15" xfId="0" applyFont="1" applyFill="1" applyBorder="1" applyAlignment="1">
      <alignment/>
    </xf>
    <xf numFmtId="0" fontId="9" fillId="23" borderId="2" xfId="0" applyFont="1" applyFill="1" applyBorder="1" applyAlignment="1">
      <alignment/>
    </xf>
    <xf numFmtId="172" fontId="10" fillId="0" borderId="12" xfId="0" applyNumberFormat="1" applyFont="1" applyFill="1" applyBorder="1" applyAlignment="1">
      <alignment/>
    </xf>
    <xf numFmtId="172" fontId="9" fillId="0" borderId="14" xfId="0" applyNumberFormat="1" applyFont="1" applyFill="1" applyBorder="1" applyAlignment="1">
      <alignment/>
    </xf>
    <xf numFmtId="172" fontId="9" fillId="0" borderId="12" xfId="0" applyNumberFormat="1" applyFont="1" applyFill="1" applyBorder="1" applyAlignment="1">
      <alignment/>
    </xf>
    <xf numFmtId="0" fontId="9" fillId="0" borderId="22" xfId="0" applyNumberFormat="1" applyFont="1" applyFill="1" applyBorder="1" applyAlignment="1">
      <alignment/>
    </xf>
    <xf numFmtId="173" fontId="9" fillId="0" borderId="5" xfId="0" applyNumberFormat="1" applyFont="1" applyFill="1" applyBorder="1" applyAlignment="1">
      <alignment/>
    </xf>
    <xf numFmtId="0" fontId="9" fillId="24" borderId="15" xfId="0" applyFont="1" applyFill="1" applyBorder="1" applyAlignment="1">
      <alignment/>
    </xf>
    <xf numFmtId="0" fontId="9" fillId="24" borderId="2" xfId="0" applyFont="1" applyFill="1" applyBorder="1" applyAlignment="1">
      <alignment/>
    </xf>
    <xf numFmtId="1" fontId="0" fillId="0" borderId="0" xfId="0" applyNumberFormat="1" applyFill="1" applyBorder="1" applyAlignment="1">
      <alignment horizontal="center"/>
    </xf>
    <xf numFmtId="1" fontId="0" fillId="0" borderId="2" xfId="0" applyNumberFormat="1" applyFill="1" applyBorder="1" applyAlignment="1">
      <alignment horizontal="right"/>
    </xf>
    <xf numFmtId="0" fontId="9" fillId="6" borderId="15" xfId="0" applyFont="1" applyFill="1" applyBorder="1" applyAlignment="1">
      <alignment/>
    </xf>
    <xf numFmtId="165" fontId="0" fillId="3" borderId="3" xfId="0" applyNumberFormat="1" applyFont="1" applyFill="1" applyBorder="1" applyAlignment="1">
      <alignment/>
    </xf>
    <xf numFmtId="169" fontId="10" fillId="0" borderId="0" xfId="0" applyNumberFormat="1" applyFont="1" applyFill="1" applyBorder="1" applyAlignment="1">
      <alignment/>
    </xf>
    <xf numFmtId="176" fontId="9" fillId="0" borderId="0" xfId="0" applyNumberFormat="1" applyFont="1" applyFill="1" applyAlignment="1">
      <alignment/>
    </xf>
    <xf numFmtId="0" fontId="9" fillId="0" borderId="0" xfId="0" applyFont="1" applyFill="1" applyAlignment="1">
      <alignment/>
    </xf>
    <xf numFmtId="0" fontId="0" fillId="0" borderId="0" xfId="0" applyFont="1" applyFill="1" applyAlignment="1">
      <alignment horizontal="center"/>
    </xf>
    <xf numFmtId="0" fontId="9" fillId="25" borderId="15" xfId="0" applyFont="1" applyFill="1" applyBorder="1" applyAlignment="1">
      <alignment/>
    </xf>
    <xf numFmtId="0" fontId="9" fillId="25" borderId="2" xfId="0" applyFont="1" applyFill="1" applyBorder="1" applyAlignment="1">
      <alignment/>
    </xf>
    <xf numFmtId="172" fontId="0" fillId="3" borderId="5" xfId="0" applyNumberFormat="1" applyFill="1" applyBorder="1" applyAlignment="1">
      <alignment/>
    </xf>
    <xf numFmtId="172" fontId="10" fillId="3" borderId="12" xfId="0" applyNumberFormat="1" applyFont="1" applyFill="1" applyBorder="1" applyAlignment="1">
      <alignment/>
    </xf>
    <xf numFmtId="1" fontId="9" fillId="6" borderId="0" xfId="0" applyNumberFormat="1" applyFont="1" applyFill="1" applyAlignment="1" quotePrefix="1">
      <alignment/>
    </xf>
    <xf numFmtId="0" fontId="0" fillId="0" borderId="0" xfId="0" applyAlignment="1" quotePrefix="1">
      <alignment/>
    </xf>
    <xf numFmtId="0" fontId="9" fillId="26" borderId="15" xfId="0" applyFont="1" applyFill="1" applyBorder="1" applyAlignment="1">
      <alignment/>
    </xf>
    <xf numFmtId="0" fontId="9" fillId="26" borderId="2" xfId="0" applyFont="1" applyFill="1" applyBorder="1" applyAlignment="1">
      <alignment/>
    </xf>
    <xf numFmtId="0" fontId="0" fillId="4" borderId="0" xfId="16" applyFont="1" applyFill="1" applyAlignment="1">
      <alignment/>
    </xf>
    <xf numFmtId="0" fontId="9" fillId="27" borderId="15" xfId="0" applyFont="1" applyFill="1" applyBorder="1" applyAlignment="1">
      <alignment/>
    </xf>
    <xf numFmtId="0" fontId="9" fillId="27" borderId="2" xfId="0" applyFont="1" applyFill="1" applyBorder="1" applyAlignment="1">
      <alignment/>
    </xf>
    <xf numFmtId="0" fontId="9" fillId="13" borderId="15" xfId="0" applyFont="1" applyFill="1" applyBorder="1" applyAlignment="1">
      <alignment/>
    </xf>
    <xf numFmtId="0" fontId="9" fillId="13" borderId="2" xfId="0" applyFont="1" applyFill="1" applyBorder="1" applyAlignment="1">
      <alignment/>
    </xf>
    <xf numFmtId="1" fontId="10" fillId="2" borderId="0" xfId="0" applyNumberFormat="1" applyFont="1" applyFill="1" applyAlignment="1">
      <alignment/>
    </xf>
    <xf numFmtId="0" fontId="0" fillId="4" borderId="0" xfId="16" applyFont="1" applyFill="1" applyBorder="1" applyAlignment="1">
      <alignment/>
    </xf>
    <xf numFmtId="1" fontId="9" fillId="7" borderId="0" xfId="0" applyNumberFormat="1" applyFont="1" applyFill="1" applyAlignment="1" quotePrefix="1">
      <alignment/>
    </xf>
    <xf numFmtId="0" fontId="9" fillId="4" borderId="8" xfId="16" applyFont="1" applyFill="1" applyBorder="1" applyAlignment="1">
      <alignment/>
    </xf>
    <xf numFmtId="0" fontId="9" fillId="28" borderId="15" xfId="0" applyFont="1" applyFill="1" applyBorder="1" applyAlignment="1">
      <alignment/>
    </xf>
    <xf numFmtId="0" fontId="9" fillId="28" borderId="2" xfId="0" applyFont="1" applyFill="1" applyBorder="1" applyAlignment="1">
      <alignment/>
    </xf>
    <xf numFmtId="166" fontId="12" fillId="0" borderId="0" xfId="0" applyNumberFormat="1" applyFont="1" applyBorder="1" applyAlignment="1">
      <alignment/>
    </xf>
    <xf numFmtId="166" fontId="12" fillId="0" borderId="31" xfId="0" applyNumberFormat="1" applyFont="1" applyBorder="1" applyAlignment="1">
      <alignment/>
    </xf>
    <xf numFmtId="169" fontId="21" fillId="0" borderId="0" xfId="0" applyNumberFormat="1" applyFont="1" applyBorder="1" applyAlignment="1">
      <alignment/>
    </xf>
    <xf numFmtId="0" fontId="9" fillId="8" borderId="15" xfId="0" applyFont="1" applyFill="1" applyBorder="1" applyAlignment="1">
      <alignment/>
    </xf>
    <xf numFmtId="0" fontId="9" fillId="8" borderId="2" xfId="0" applyFont="1" applyFill="1" applyBorder="1" applyAlignment="1">
      <alignment/>
    </xf>
    <xf numFmtId="0" fontId="8" fillId="0" borderId="22" xfId="0" applyFont="1" applyFill="1" applyBorder="1" applyAlignment="1">
      <alignment horizontal="center"/>
    </xf>
    <xf numFmtId="0" fontId="8" fillId="0" borderId="0" xfId="0" applyFont="1" applyAlignment="1">
      <alignment horizontal="right"/>
    </xf>
    <xf numFmtId="0" fontId="9" fillId="29" borderId="15" xfId="0" applyFont="1" applyFill="1" applyBorder="1" applyAlignment="1">
      <alignment/>
    </xf>
    <xf numFmtId="0" fontId="8" fillId="0" borderId="0" xfId="0" applyFont="1" applyFill="1" applyBorder="1" applyAlignment="1">
      <alignment horizontal="right"/>
    </xf>
    <xf numFmtId="172" fontId="9" fillId="3" borderId="5" xfId="0" applyNumberFormat="1" applyFont="1" applyFill="1" applyBorder="1" applyAlignment="1">
      <alignment/>
    </xf>
    <xf numFmtId="172" fontId="21" fillId="3" borderId="12" xfId="0" applyNumberFormat="1" applyFont="1" applyFill="1" applyBorder="1" applyAlignment="1">
      <alignment/>
    </xf>
    <xf numFmtId="172" fontId="20" fillId="0" borderId="12" xfId="0" applyNumberFormat="1" applyFont="1" applyFill="1" applyBorder="1" applyAlignment="1">
      <alignment/>
    </xf>
    <xf numFmtId="0" fontId="10" fillId="0" borderId="1" xfId="0" applyFont="1" applyFill="1" applyBorder="1" applyAlignment="1">
      <alignment/>
    </xf>
    <xf numFmtId="174" fontId="8" fillId="16" borderId="1" xfId="0" applyNumberFormat="1" applyFont="1" applyFill="1" applyBorder="1" applyAlignment="1">
      <alignment/>
    </xf>
    <xf numFmtId="49" fontId="8" fillId="0" borderId="14" xfId="0" applyNumberFormat="1" applyFont="1" applyFill="1" applyBorder="1" applyAlignment="1">
      <alignment horizontal="center"/>
    </xf>
    <xf numFmtId="176" fontId="12" fillId="0" borderId="0" xfId="0" applyNumberFormat="1" applyFont="1" applyFill="1" applyAlignment="1">
      <alignment/>
    </xf>
    <xf numFmtId="1" fontId="17" fillId="29" borderId="0" xfId="0" applyNumberFormat="1" applyFont="1" applyFill="1" applyAlignment="1" quotePrefix="1">
      <alignment/>
    </xf>
    <xf numFmtId="0" fontId="9" fillId="30" borderId="15" xfId="0" applyFont="1" applyFill="1" applyBorder="1" applyAlignment="1">
      <alignment/>
    </xf>
    <xf numFmtId="0" fontId="9" fillId="30" borderId="2" xfId="0" applyFont="1" applyFill="1" applyBorder="1" applyAlignment="1">
      <alignment/>
    </xf>
    <xf numFmtId="0" fontId="6" fillId="0" borderId="1" xfId="0" applyFont="1" applyFill="1" applyBorder="1" applyAlignment="1">
      <alignment/>
    </xf>
    <xf numFmtId="1" fontId="9" fillId="30" borderId="0" xfId="0" applyNumberFormat="1" applyFont="1" applyFill="1" applyAlignment="1" quotePrefix="1">
      <alignment/>
    </xf>
    <xf numFmtId="0" fontId="9" fillId="9" borderId="15" xfId="0" applyFont="1" applyFill="1" applyBorder="1" applyAlignment="1">
      <alignment/>
    </xf>
    <xf numFmtId="0" fontId="9" fillId="9" borderId="2" xfId="0" applyFont="1" applyFill="1" applyBorder="1" applyAlignment="1">
      <alignment/>
    </xf>
    <xf numFmtId="1" fontId="9" fillId="9" borderId="0" xfId="0" applyNumberFormat="1" applyFont="1" applyFill="1" applyAlignment="1" quotePrefix="1">
      <alignment/>
    </xf>
    <xf numFmtId="0" fontId="9" fillId="4" borderId="0" xfId="16" applyFont="1" applyFill="1" applyAlignment="1">
      <alignment/>
    </xf>
    <xf numFmtId="0" fontId="9" fillId="31" borderId="18" xfId="0" applyFont="1" applyFill="1" applyBorder="1" applyAlignment="1">
      <alignment/>
    </xf>
    <xf numFmtId="0" fontId="11" fillId="2" borderId="15" xfId="0" applyFont="1" applyFill="1" applyBorder="1" applyAlignment="1">
      <alignment/>
    </xf>
    <xf numFmtId="2" fontId="9" fillId="0" borderId="22" xfId="0" applyNumberFormat="1" applyFont="1" applyBorder="1" applyAlignment="1">
      <alignment/>
    </xf>
    <xf numFmtId="0" fontId="6" fillId="0" borderId="33" xfId="0" applyFont="1" applyFill="1" applyBorder="1" applyAlignment="1">
      <alignment/>
    </xf>
    <xf numFmtId="0" fontId="11" fillId="32" borderId="2" xfId="0" applyFont="1" applyFill="1" applyBorder="1" applyAlignment="1">
      <alignment/>
    </xf>
    <xf numFmtId="0" fontId="0" fillId="4" borderId="0" xfId="0" applyFill="1" applyBorder="1" applyAlignment="1">
      <alignment/>
    </xf>
    <xf numFmtId="0" fontId="0" fillId="4" borderId="0" xfId="0" applyFont="1" applyFill="1" applyBorder="1" applyAlignment="1">
      <alignment/>
    </xf>
    <xf numFmtId="0" fontId="12" fillId="4" borderId="0" xfId="0" applyFont="1" applyFill="1" applyBorder="1" applyAlignment="1">
      <alignment/>
    </xf>
    <xf numFmtId="0" fontId="0" fillId="0" borderId="0" xfId="0" applyBorder="1" applyAlignment="1">
      <alignment horizontal="center"/>
    </xf>
    <xf numFmtId="17" fontId="0" fillId="4" borderId="0" xfId="0" applyNumberFormat="1" applyFill="1" applyBorder="1" applyAlignment="1" quotePrefix="1">
      <alignment/>
    </xf>
    <xf numFmtId="0" fontId="25" fillId="2" borderId="34" xfId="0" applyNumberFormat="1" applyFont="1" applyFill="1" applyBorder="1" applyAlignment="1">
      <alignment/>
    </xf>
    <xf numFmtId="0" fontId="8" fillId="2" borderId="35" xfId="0" applyFont="1" applyFill="1" applyBorder="1" applyAlignment="1">
      <alignment horizontal="right"/>
    </xf>
    <xf numFmtId="0" fontId="25" fillId="2" borderId="0" xfId="0" applyNumberFormat="1" applyFont="1" applyFill="1" applyBorder="1" applyAlignment="1">
      <alignment horizontal="left"/>
    </xf>
    <xf numFmtId="0" fontId="0" fillId="4" borderId="0" xfId="0" applyFill="1" applyBorder="1" applyAlignment="1" quotePrefix="1">
      <alignment/>
    </xf>
    <xf numFmtId="0" fontId="0" fillId="4" borderId="0" xfId="0" applyFill="1" applyBorder="1" applyAlignment="1">
      <alignment horizontal="left"/>
    </xf>
    <xf numFmtId="0" fontId="9" fillId="0" borderId="0" xfId="0" applyNumberFormat="1" applyFont="1" applyFill="1" applyBorder="1" applyAlignment="1">
      <alignment/>
    </xf>
    <xf numFmtId="1" fontId="0" fillId="0" borderId="0" xfId="0" applyNumberFormat="1" applyAlignment="1">
      <alignment/>
    </xf>
    <xf numFmtId="0" fontId="16" fillId="2" borderId="36" xfId="0" applyFont="1" applyFill="1" applyBorder="1" applyAlignment="1">
      <alignment horizontal="center"/>
    </xf>
    <xf numFmtId="0" fontId="0" fillId="4" borderId="34" xfId="0" applyNumberFormat="1" applyFont="1" applyFill="1" applyBorder="1" applyAlignment="1">
      <alignment/>
    </xf>
    <xf numFmtId="0" fontId="12" fillId="0" borderId="0" xfId="0" applyFont="1" applyAlignment="1">
      <alignment/>
    </xf>
    <xf numFmtId="0" fontId="12" fillId="2" borderId="9" xfId="0" applyFont="1" applyFill="1" applyBorder="1" applyAlignment="1">
      <alignment/>
    </xf>
    <xf numFmtId="0" fontId="12" fillId="0" borderId="37" xfId="0" applyFont="1" applyBorder="1" applyAlignment="1">
      <alignment/>
    </xf>
    <xf numFmtId="0" fontId="12" fillId="0" borderId="1" xfId="0" applyFont="1" applyBorder="1" applyAlignment="1">
      <alignment/>
    </xf>
    <xf numFmtId="0" fontId="12" fillId="0" borderId="1" xfId="0" applyNumberFormat="1" applyFont="1" applyFill="1" applyBorder="1" applyAlignment="1">
      <alignment/>
    </xf>
    <xf numFmtId="0" fontId="8" fillId="2" borderId="38" xfId="0" applyFont="1" applyFill="1" applyBorder="1" applyAlignment="1">
      <alignment horizontal="right"/>
    </xf>
    <xf numFmtId="0" fontId="8" fillId="2" borderId="39" xfId="0" applyFont="1" applyFill="1" applyBorder="1" applyAlignment="1">
      <alignment horizontal="left"/>
    </xf>
    <xf numFmtId="174" fontId="9" fillId="0" borderId="0" xfId="0" applyNumberFormat="1" applyFont="1" applyAlignment="1">
      <alignment/>
    </xf>
    <xf numFmtId="49" fontId="0" fillId="0" borderId="33" xfId="0" applyNumberFormat="1" applyFont="1" applyFill="1" applyBorder="1" applyAlignment="1">
      <alignment horizontal="center"/>
    </xf>
    <xf numFmtId="49" fontId="0" fillId="0" borderId="1" xfId="0" applyNumberFormat="1" applyFont="1" applyFill="1" applyBorder="1" applyAlignment="1">
      <alignment horizontal="center"/>
    </xf>
    <xf numFmtId="0" fontId="0" fillId="0" borderId="33" xfId="0" applyBorder="1" applyAlignment="1">
      <alignment/>
    </xf>
    <xf numFmtId="0" fontId="11" fillId="33" borderId="15" xfId="0" applyFont="1" applyFill="1" applyBorder="1" applyAlignment="1">
      <alignment/>
    </xf>
    <xf numFmtId="0" fontId="0" fillId="4" borderId="40" xfId="0" applyNumberFormat="1" applyFont="1" applyFill="1" applyBorder="1" applyAlignment="1">
      <alignment/>
    </xf>
    <xf numFmtId="0" fontId="9" fillId="4" borderId="40" xfId="0" applyNumberFormat="1" applyFont="1" applyFill="1" applyBorder="1" applyAlignment="1">
      <alignment/>
    </xf>
    <xf numFmtId="0" fontId="0" fillId="4" borderId="41" xfId="0" applyNumberFormat="1" applyFont="1" applyFill="1" applyBorder="1" applyAlignment="1">
      <alignment/>
    </xf>
    <xf numFmtId="0" fontId="9" fillId="4" borderId="41" xfId="0" applyNumberFormat="1" applyFont="1" applyFill="1" applyBorder="1" applyAlignment="1">
      <alignment/>
    </xf>
    <xf numFmtId="172" fontId="0" fillId="0" borderId="42" xfId="0" applyNumberFormat="1" applyFont="1" applyBorder="1" applyAlignment="1">
      <alignment/>
    </xf>
    <xf numFmtId="172" fontId="0" fillId="0" borderId="3" xfId="0" applyNumberFormat="1" applyFont="1" applyBorder="1" applyAlignment="1">
      <alignment/>
    </xf>
    <xf numFmtId="172" fontId="0" fillId="0" borderId="3" xfId="0" applyNumberFormat="1" applyBorder="1" applyAlignment="1">
      <alignment/>
    </xf>
    <xf numFmtId="172" fontId="0" fillId="0" borderId="3" xfId="0" applyNumberFormat="1" applyFill="1" applyBorder="1" applyAlignment="1">
      <alignment/>
    </xf>
    <xf numFmtId="0" fontId="13" fillId="4" borderId="8" xfId="16" applyFont="1" applyFill="1" applyBorder="1" applyAlignment="1">
      <alignment/>
    </xf>
    <xf numFmtId="172" fontId="20" fillId="0" borderId="3" xfId="0" applyNumberFormat="1" applyFont="1" applyFill="1" applyBorder="1" applyAlignment="1">
      <alignment/>
    </xf>
    <xf numFmtId="173" fontId="9" fillId="0" borderId="14" xfId="0" applyNumberFormat="1" applyFont="1" applyBorder="1" applyAlignment="1">
      <alignment/>
    </xf>
    <xf numFmtId="173" fontId="9" fillId="0" borderId="14" xfId="0" applyNumberFormat="1" applyFont="1" applyFill="1" applyBorder="1" applyAlignment="1">
      <alignment/>
    </xf>
    <xf numFmtId="0" fontId="9" fillId="8" borderId="14" xfId="0" applyFont="1" applyFill="1" applyBorder="1" applyAlignment="1">
      <alignment horizontal="center"/>
    </xf>
    <xf numFmtId="0" fontId="9" fillId="15" borderId="14" xfId="0" applyFont="1" applyFill="1" applyBorder="1" applyAlignment="1">
      <alignment horizontal="center"/>
    </xf>
    <xf numFmtId="0" fontId="9" fillId="34" borderId="14" xfId="0" applyFont="1" applyFill="1" applyBorder="1" applyAlignment="1">
      <alignment horizontal="center"/>
    </xf>
    <xf numFmtId="0" fontId="9" fillId="35" borderId="14" xfId="0" applyFont="1" applyFill="1" applyBorder="1" applyAlignment="1">
      <alignment horizontal="center"/>
    </xf>
    <xf numFmtId="0" fontId="9" fillId="11" borderId="14" xfId="0" applyFont="1" applyFill="1" applyBorder="1" applyAlignment="1">
      <alignment horizontal="center"/>
    </xf>
    <xf numFmtId="0" fontId="9" fillId="7" borderId="43" xfId="0" applyFont="1" applyFill="1" applyBorder="1" applyAlignment="1">
      <alignment horizontal="center"/>
    </xf>
    <xf numFmtId="0" fontId="9" fillId="7" borderId="44" xfId="0" applyFont="1" applyFill="1" applyBorder="1" applyAlignment="1">
      <alignment horizontal="center"/>
    </xf>
    <xf numFmtId="0" fontId="9" fillId="35" borderId="33" xfId="0" applyFont="1" applyFill="1" applyBorder="1" applyAlignment="1">
      <alignment horizontal="center"/>
    </xf>
    <xf numFmtId="0" fontId="9" fillId="11" borderId="33" xfId="0" applyFont="1" applyFill="1" applyBorder="1" applyAlignment="1">
      <alignment horizontal="center"/>
    </xf>
    <xf numFmtId="0" fontId="9" fillId="15" borderId="33" xfId="0" applyFont="1" applyFill="1" applyBorder="1" applyAlignment="1">
      <alignment horizontal="center"/>
    </xf>
    <xf numFmtId="0" fontId="9" fillId="8" borderId="33" xfId="0" applyFont="1" applyFill="1" applyBorder="1" applyAlignment="1">
      <alignment horizontal="center"/>
    </xf>
    <xf numFmtId="0" fontId="9" fillId="34" borderId="33" xfId="0" applyFont="1" applyFill="1" applyBorder="1" applyAlignment="1">
      <alignment horizontal="center"/>
    </xf>
    <xf numFmtId="0" fontId="9" fillId="3" borderId="14" xfId="0" applyFont="1" applyFill="1" applyBorder="1" applyAlignment="1">
      <alignment horizontal="center"/>
    </xf>
    <xf numFmtId="0" fontId="9" fillId="3" borderId="33" xfId="0" applyFont="1" applyFill="1" applyBorder="1" applyAlignment="1">
      <alignment horizontal="center"/>
    </xf>
    <xf numFmtId="0" fontId="9" fillId="36" borderId="14" xfId="0" applyFont="1" applyFill="1" applyBorder="1" applyAlignment="1">
      <alignment horizontal="center"/>
    </xf>
    <xf numFmtId="0" fontId="9" fillId="36" borderId="33" xfId="0" applyFont="1" applyFill="1" applyBorder="1" applyAlignment="1">
      <alignment horizontal="center"/>
    </xf>
    <xf numFmtId="0" fontId="9" fillId="0" borderId="0" xfId="0" applyFont="1" applyBorder="1" applyAlignment="1">
      <alignment horizontal="center"/>
    </xf>
    <xf numFmtId="0" fontId="12" fillId="2" borderId="9" xfId="0" applyFont="1" applyFill="1" applyBorder="1" applyAlignment="1">
      <alignment horizontal="center"/>
    </xf>
    <xf numFmtId="0" fontId="12" fillId="0" borderId="0" xfId="0" applyFont="1" applyBorder="1" applyAlignment="1">
      <alignment horizontal="center"/>
    </xf>
    <xf numFmtId="0" fontId="0" fillId="4" borderId="14" xfId="0" applyFill="1" applyBorder="1" applyAlignment="1">
      <alignment horizontal="left"/>
    </xf>
    <xf numFmtId="0" fontId="0" fillId="4" borderId="14" xfId="0" applyNumberFormat="1" applyFont="1" applyFill="1" applyBorder="1" applyAlignment="1">
      <alignment/>
    </xf>
    <xf numFmtId="0" fontId="0" fillId="4" borderId="33" xfId="0" applyFill="1" applyBorder="1" applyAlignment="1" quotePrefix="1">
      <alignment horizontal="right"/>
    </xf>
    <xf numFmtId="0" fontId="0" fillId="4" borderId="44" xfId="0" applyFill="1" applyBorder="1" applyAlignment="1" quotePrefix="1">
      <alignment horizontal="right"/>
    </xf>
    <xf numFmtId="0" fontId="0" fillId="4" borderId="33" xfId="0" applyFill="1" applyBorder="1" applyAlignment="1">
      <alignment horizontal="right"/>
    </xf>
    <xf numFmtId="0" fontId="0" fillId="4" borderId="33" xfId="0" applyNumberFormat="1" applyFont="1" applyFill="1" applyBorder="1" applyAlignment="1" quotePrefix="1">
      <alignment horizontal="right"/>
    </xf>
    <xf numFmtId="0" fontId="27" fillId="2" borderId="0" xfId="0" applyFont="1" applyFill="1" applyBorder="1" applyAlignment="1" quotePrefix="1">
      <alignment horizontal="center"/>
    </xf>
    <xf numFmtId="172" fontId="0" fillId="0" borderId="45" xfId="0" applyNumberFormat="1" applyBorder="1" applyAlignment="1">
      <alignment/>
    </xf>
    <xf numFmtId="17" fontId="0" fillId="4" borderId="33" xfId="0" applyNumberFormat="1" applyFont="1" applyFill="1" applyBorder="1" applyAlignment="1" quotePrefix="1">
      <alignment horizontal="right"/>
    </xf>
    <xf numFmtId="0" fontId="9" fillId="7" borderId="33" xfId="0" applyFont="1" applyFill="1" applyBorder="1" applyAlignment="1">
      <alignment horizontal="center"/>
    </xf>
    <xf numFmtId="0" fontId="0" fillId="4" borderId="46" xfId="16" applyFont="1" applyFill="1" applyBorder="1" applyAlignment="1">
      <alignment/>
    </xf>
    <xf numFmtId="0" fontId="13" fillId="4" borderId="47" xfId="0" applyFont="1" applyFill="1" applyBorder="1" applyAlignment="1">
      <alignment/>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Font="1" applyFill="1" applyBorder="1" applyAlignment="1">
      <alignment horizontal="center"/>
    </xf>
    <xf numFmtId="0" fontId="0" fillId="16" borderId="45" xfId="0" applyFont="1" applyFill="1" applyBorder="1" applyAlignment="1">
      <alignment horizontal="right"/>
    </xf>
    <xf numFmtId="175" fontId="9" fillId="0" borderId="54" xfId="0" applyNumberFormat="1" applyFont="1" applyBorder="1" applyAlignment="1">
      <alignment/>
    </xf>
    <xf numFmtId="172" fontId="9" fillId="0" borderId="55" xfId="0" applyNumberFormat="1" applyFont="1" applyBorder="1" applyAlignment="1">
      <alignment/>
    </xf>
    <xf numFmtId="170" fontId="0" fillId="0" borderId="51" xfId="0" applyNumberFormat="1" applyFont="1" applyBorder="1" applyAlignment="1">
      <alignment horizontal="center"/>
    </xf>
    <xf numFmtId="170" fontId="0" fillId="0" borderId="49" xfId="0" applyNumberFormat="1" applyFont="1" applyBorder="1" applyAlignment="1">
      <alignment horizontal="center"/>
    </xf>
    <xf numFmtId="170" fontId="0" fillId="0" borderId="56" xfId="0" applyNumberFormat="1" applyFont="1" applyBorder="1" applyAlignment="1">
      <alignment horizontal="center"/>
    </xf>
    <xf numFmtId="0" fontId="0" fillId="16" borderId="45" xfId="0" applyFont="1" applyFill="1" applyBorder="1" applyAlignment="1">
      <alignment/>
    </xf>
    <xf numFmtId="173" fontId="9" fillId="0" borderId="51" xfId="0" applyNumberFormat="1" applyFont="1" applyBorder="1" applyAlignment="1">
      <alignment/>
    </xf>
    <xf numFmtId="169" fontId="10" fillId="0" borderId="9" xfId="0" applyNumberFormat="1" applyFont="1" applyBorder="1" applyAlignment="1">
      <alignment/>
    </xf>
    <xf numFmtId="170" fontId="0" fillId="0" borderId="52" xfId="0" applyNumberFormat="1" applyFont="1" applyBorder="1" applyAlignment="1">
      <alignment horizontal="center"/>
    </xf>
    <xf numFmtId="0" fontId="6" fillId="0" borderId="11" xfId="0" applyFont="1" applyBorder="1" applyAlignment="1">
      <alignment/>
    </xf>
    <xf numFmtId="0" fontId="6" fillId="14" borderId="53" xfId="0" applyFont="1" applyFill="1" applyBorder="1" applyAlignment="1" quotePrefix="1">
      <alignment horizontal="center"/>
    </xf>
    <xf numFmtId="173" fontId="9" fillId="0" borderId="55" xfId="0" applyNumberFormat="1" applyFont="1" applyBorder="1" applyAlignment="1">
      <alignment/>
    </xf>
    <xf numFmtId="169" fontId="10" fillId="0" borderId="53" xfId="0" applyNumberFormat="1" applyFont="1" applyFill="1" applyBorder="1" applyAlignment="1">
      <alignment/>
    </xf>
    <xf numFmtId="49" fontId="0" fillId="0" borderId="55" xfId="0" applyNumberFormat="1" applyFont="1" applyBorder="1" applyAlignment="1">
      <alignment horizontal="center"/>
    </xf>
    <xf numFmtId="176" fontId="9" fillId="0" borderId="9" xfId="0" applyNumberFormat="1" applyFont="1" applyBorder="1" applyAlignment="1">
      <alignment/>
    </xf>
    <xf numFmtId="0" fontId="0" fillId="0" borderId="51" xfId="0" applyNumberFormat="1" applyFont="1" applyFill="1" applyBorder="1" applyAlignment="1">
      <alignment horizontal="center"/>
    </xf>
    <xf numFmtId="0" fontId="0" fillId="0" borderId="49" xfId="0" applyNumberFormat="1" applyFont="1" applyFill="1" applyBorder="1" applyAlignment="1">
      <alignment horizontal="center"/>
    </xf>
    <xf numFmtId="0" fontId="0" fillId="0" borderId="50" xfId="0" applyNumberFormat="1" applyFont="1" applyFill="1" applyBorder="1" applyAlignment="1">
      <alignment horizontal="center"/>
    </xf>
    <xf numFmtId="0" fontId="9" fillId="0" borderId="9" xfId="0" applyFont="1" applyBorder="1" applyAlignment="1">
      <alignment/>
    </xf>
    <xf numFmtId="0" fontId="0" fillId="0" borderId="52" xfId="0" applyNumberFormat="1" applyFont="1" applyFill="1" applyBorder="1" applyAlignment="1">
      <alignment horizontal="center"/>
    </xf>
    <xf numFmtId="170" fontId="0" fillId="0" borderId="9" xfId="0" applyNumberFormat="1" applyFont="1" applyFill="1" applyBorder="1" applyAlignment="1">
      <alignment horizontal="right"/>
    </xf>
    <xf numFmtId="179" fontId="0" fillId="0" borderId="9" xfId="0" applyNumberFormat="1" applyFont="1" applyFill="1" applyBorder="1" applyAlignment="1">
      <alignment horizontal="right"/>
    </xf>
    <xf numFmtId="171" fontId="0" fillId="0" borderId="9" xfId="0" applyNumberFormat="1" applyFont="1" applyFill="1" applyBorder="1" applyAlignment="1">
      <alignment horizontal="right"/>
    </xf>
    <xf numFmtId="0" fontId="0" fillId="0" borderId="9" xfId="0" applyFont="1" applyBorder="1" applyAlignment="1">
      <alignment horizontal="center"/>
    </xf>
    <xf numFmtId="0" fontId="0" fillId="0" borderId="9" xfId="0" applyFont="1" applyBorder="1" applyAlignment="1">
      <alignment/>
    </xf>
    <xf numFmtId="0" fontId="6" fillId="0" borderId="54" xfId="0" applyFont="1" applyFill="1" applyBorder="1" applyAlignment="1">
      <alignment/>
    </xf>
    <xf numFmtId="0" fontId="6" fillId="0" borderId="9" xfId="0" applyFont="1" applyFill="1" applyBorder="1" applyAlignment="1">
      <alignment/>
    </xf>
    <xf numFmtId="0" fontId="0" fillId="0" borderId="9" xfId="0" applyBorder="1" applyAlignment="1">
      <alignment/>
    </xf>
    <xf numFmtId="1" fontId="12" fillId="2" borderId="9" xfId="0" applyNumberFormat="1" applyFont="1" applyFill="1" applyBorder="1" applyAlignment="1">
      <alignment/>
    </xf>
    <xf numFmtId="0" fontId="12" fillId="0" borderId="11" xfId="0" applyNumberFormat="1" applyFont="1" applyFill="1" applyBorder="1" applyAlignment="1">
      <alignment/>
    </xf>
    <xf numFmtId="166" fontId="9" fillId="0" borderId="10" xfId="0" applyNumberFormat="1" applyFont="1" applyBorder="1" applyAlignment="1">
      <alignment/>
    </xf>
    <xf numFmtId="0" fontId="0" fillId="0" borderId="9" xfId="0" applyNumberFormat="1" applyFont="1" applyFill="1" applyBorder="1" applyAlignment="1">
      <alignment/>
    </xf>
    <xf numFmtId="165" fontId="0" fillId="22" borderId="3" xfId="0" applyNumberFormat="1" applyFont="1" applyFill="1" applyBorder="1" applyAlignment="1">
      <alignment/>
    </xf>
    <xf numFmtId="181" fontId="0" fillId="0" borderId="22" xfId="0" applyNumberFormat="1" applyFill="1" applyBorder="1" applyAlignment="1">
      <alignment/>
    </xf>
    <xf numFmtId="181" fontId="0" fillId="3" borderId="22" xfId="0" applyNumberFormat="1" applyFill="1" applyBorder="1" applyAlignment="1">
      <alignment/>
    </xf>
    <xf numFmtId="172" fontId="0" fillId="0" borderId="3" xfId="0" applyNumberFormat="1" applyFont="1" applyFill="1" applyBorder="1" applyAlignment="1">
      <alignment/>
    </xf>
    <xf numFmtId="181" fontId="0" fillId="0" borderId="26" xfId="0" applyNumberFormat="1" applyFont="1" applyFill="1" applyBorder="1" applyAlignment="1">
      <alignment/>
    </xf>
    <xf numFmtId="181" fontId="0" fillId="0" borderId="22" xfId="0" applyNumberFormat="1" applyFont="1" applyFill="1" applyBorder="1" applyAlignment="1">
      <alignment/>
    </xf>
    <xf numFmtId="181" fontId="0" fillId="0" borderId="53" xfId="0" applyNumberFormat="1" applyFill="1" applyBorder="1" applyAlignment="1">
      <alignment/>
    </xf>
    <xf numFmtId="0" fontId="9" fillId="37" borderId="14" xfId="0" applyFont="1" applyFill="1" applyBorder="1" applyAlignment="1">
      <alignment horizontal="center"/>
    </xf>
    <xf numFmtId="0" fontId="9" fillId="38" borderId="2" xfId="0" applyFont="1" applyFill="1" applyBorder="1" applyAlignment="1">
      <alignment/>
    </xf>
    <xf numFmtId="0" fontId="9" fillId="39" borderId="2" xfId="0" applyFont="1" applyFill="1" applyBorder="1" applyAlignment="1">
      <alignment/>
    </xf>
    <xf numFmtId="0" fontId="11" fillId="2" borderId="0" xfId="0" applyNumberFormat="1" applyFont="1" applyFill="1" applyBorder="1" applyAlignment="1">
      <alignment horizontal="center" vertical="center"/>
    </xf>
    <xf numFmtId="0" fontId="0" fillId="0" borderId="0" xfId="0" applyNumberFormat="1" applyFont="1" applyFill="1" applyBorder="1" applyAlignment="1">
      <alignment horizontal="right"/>
    </xf>
    <xf numFmtId="0" fontId="0" fillId="0" borderId="9" xfId="0" applyNumberFormat="1" applyFont="1" applyFill="1" applyBorder="1" applyAlignment="1">
      <alignment horizontal="right"/>
    </xf>
    <xf numFmtId="0" fontId="0" fillId="0" borderId="0" xfId="0" applyNumberFormat="1" applyAlignment="1">
      <alignment/>
    </xf>
    <xf numFmtId="172" fontId="0" fillId="0" borderId="3" xfId="0" applyNumberFormat="1" applyFont="1" applyFill="1" applyBorder="1" applyAlignment="1">
      <alignment/>
    </xf>
    <xf numFmtId="166" fontId="5" fillId="2" borderId="10" xfId="0" applyNumberFormat="1" applyFont="1" applyFill="1" applyBorder="1" applyAlignment="1">
      <alignment horizontal="center"/>
    </xf>
    <xf numFmtId="166" fontId="0" fillId="0" borderId="0" xfId="0" applyNumberFormat="1" applyBorder="1" applyAlignment="1">
      <alignment/>
    </xf>
    <xf numFmtId="166" fontId="0" fillId="0" borderId="0" xfId="0" applyNumberFormat="1" applyFont="1" applyBorder="1" applyAlignment="1">
      <alignment/>
    </xf>
    <xf numFmtId="0" fontId="5" fillId="2" borderId="2" xfId="0" applyFont="1" applyFill="1" applyBorder="1" applyAlignment="1">
      <alignment/>
    </xf>
    <xf numFmtId="165" fontId="11" fillId="2" borderId="32" xfId="0" applyNumberFormat="1" applyFont="1" applyFill="1" applyBorder="1" applyAlignment="1">
      <alignment horizontal="center" vertical="center"/>
    </xf>
    <xf numFmtId="171" fontId="0" fillId="0" borderId="2" xfId="0" applyNumberFormat="1" applyFont="1" applyFill="1" applyBorder="1" applyAlignment="1">
      <alignment horizontal="right"/>
    </xf>
    <xf numFmtId="0" fontId="11" fillId="2" borderId="0" xfId="0" applyFont="1" applyFill="1" applyBorder="1" applyAlignment="1">
      <alignment horizontal="center"/>
    </xf>
    <xf numFmtId="0" fontId="9" fillId="0" borderId="0" xfId="0" applyNumberFormat="1" applyFont="1" applyBorder="1" applyAlignment="1">
      <alignment/>
    </xf>
    <xf numFmtId="171" fontId="0" fillId="0" borderId="2" xfId="0" applyNumberFormat="1" applyBorder="1" applyAlignment="1">
      <alignment/>
    </xf>
    <xf numFmtId="171" fontId="0" fillId="0" borderId="2" xfId="0" applyNumberFormat="1" applyFont="1" applyBorder="1" applyAlignment="1">
      <alignment/>
    </xf>
    <xf numFmtId="0" fontId="9" fillId="11" borderId="47" xfId="0" applyFont="1" applyFill="1" applyBorder="1" applyAlignment="1">
      <alignment/>
    </xf>
    <xf numFmtId="174" fontId="0" fillId="16" borderId="11" xfId="0" applyNumberFormat="1" applyFont="1" applyFill="1" applyBorder="1" applyAlignment="1">
      <alignment/>
    </xf>
    <xf numFmtId="166" fontId="9" fillId="0" borderId="9" xfId="0" applyNumberFormat="1" applyFont="1" applyBorder="1" applyAlignment="1">
      <alignment/>
    </xf>
    <xf numFmtId="166" fontId="9" fillId="0" borderId="57" xfId="0" applyNumberFormat="1" applyFont="1" applyBorder="1" applyAlignment="1">
      <alignment/>
    </xf>
    <xf numFmtId="0" fontId="9" fillId="9" borderId="58" xfId="0" applyFont="1" applyFill="1" applyBorder="1" applyAlignment="1">
      <alignment/>
    </xf>
    <xf numFmtId="0" fontId="9" fillId="9" borderId="10" xfId="0" applyFont="1" applyFill="1" applyBorder="1" applyAlignment="1">
      <alignment/>
    </xf>
    <xf numFmtId="0" fontId="0" fillId="0" borderId="9" xfId="0" applyFill="1" applyBorder="1" applyAlignment="1">
      <alignment horizontal="right"/>
    </xf>
    <xf numFmtId="172" fontId="0" fillId="3" borderId="51" xfId="0" applyNumberFormat="1" applyFill="1" applyBorder="1" applyAlignment="1">
      <alignment/>
    </xf>
    <xf numFmtId="172" fontId="10" fillId="3" borderId="52" xfId="0" applyNumberFormat="1" applyFont="1" applyFill="1" applyBorder="1" applyAlignment="1">
      <alignment/>
    </xf>
    <xf numFmtId="172" fontId="9" fillId="0" borderId="52" xfId="0" applyNumberFormat="1" applyFont="1" applyFill="1" applyBorder="1" applyAlignment="1">
      <alignment/>
    </xf>
    <xf numFmtId="0" fontId="9" fillId="0" borderId="53" xfId="0" applyNumberFormat="1" applyFont="1" applyFill="1" applyBorder="1" applyAlignment="1">
      <alignment/>
    </xf>
    <xf numFmtId="165" fontId="0" fillId="3" borderId="45" xfId="0" applyNumberFormat="1" applyFont="1" applyFill="1" applyBorder="1" applyAlignment="1">
      <alignment/>
    </xf>
    <xf numFmtId="1" fontId="9" fillId="9" borderId="9" xfId="0" applyNumberFormat="1" applyFont="1" applyFill="1" applyBorder="1" applyAlignment="1" quotePrefix="1">
      <alignment/>
    </xf>
    <xf numFmtId="181" fontId="0" fillId="0" borderId="24" xfId="0" applyNumberFormat="1" applyBorder="1" applyAlignment="1">
      <alignment/>
    </xf>
    <xf numFmtId="181" fontId="0" fillId="0" borderId="24" xfId="0" applyNumberFormat="1" applyFont="1" applyFill="1" applyBorder="1" applyAlignment="1">
      <alignment/>
    </xf>
    <xf numFmtId="181" fontId="0" fillId="0" borderId="24" xfId="0" applyNumberFormat="1" applyFill="1" applyBorder="1" applyAlignment="1">
      <alignment/>
    </xf>
    <xf numFmtId="17" fontId="0" fillId="4" borderId="43" xfId="0" applyNumberFormat="1" applyFill="1" applyBorder="1" applyAlignment="1" quotePrefix="1">
      <alignment/>
    </xf>
    <xf numFmtId="0" fontId="0" fillId="4" borderId="14" xfId="0" applyFill="1" applyBorder="1" applyAlignment="1" quotePrefix="1">
      <alignment/>
    </xf>
    <xf numFmtId="0" fontId="0" fillId="4" borderId="14" xfId="0" applyFill="1" applyBorder="1" applyAlignment="1">
      <alignment/>
    </xf>
    <xf numFmtId="0" fontId="0" fillId="4" borderId="59" xfId="0" applyFill="1" applyBorder="1" applyAlignment="1">
      <alignment/>
    </xf>
    <xf numFmtId="49" fontId="11" fillId="2" borderId="0" xfId="0" applyNumberFormat="1" applyFont="1" applyFill="1" applyBorder="1" applyAlignment="1">
      <alignment horizontal="center" textRotation="90"/>
    </xf>
    <xf numFmtId="49" fontId="0" fillId="0" borderId="0" xfId="0" applyNumberFormat="1" applyFont="1" applyFill="1" applyBorder="1" applyAlignment="1">
      <alignment horizontal="center"/>
    </xf>
    <xf numFmtId="166" fontId="0" fillId="0" borderId="0" xfId="0" applyNumberFormat="1" applyBorder="1" applyAlignment="1">
      <alignment horizontal="right"/>
    </xf>
    <xf numFmtId="17" fontId="0" fillId="4" borderId="33" xfId="0" applyNumberFormat="1" applyFill="1" applyBorder="1" applyAlignment="1" quotePrefix="1">
      <alignment horizontal="right"/>
    </xf>
    <xf numFmtId="0" fontId="0" fillId="0" borderId="2" xfId="0" applyFill="1" applyBorder="1" applyAlignment="1">
      <alignment/>
    </xf>
    <xf numFmtId="1" fontId="0" fillId="0" borderId="0" xfId="0" applyNumberFormat="1" applyFill="1" applyBorder="1" applyAlignment="1">
      <alignment horizontal="right"/>
    </xf>
    <xf numFmtId="0" fontId="0" fillId="0" borderId="0" xfId="0" applyNumberFormat="1" applyFill="1" applyBorder="1" applyAlignment="1">
      <alignment horizontal="right"/>
    </xf>
    <xf numFmtId="1" fontId="0" fillId="0" borderId="0" xfId="0" applyNumberFormat="1" applyFill="1" applyBorder="1" applyAlignment="1">
      <alignment/>
    </xf>
    <xf numFmtId="0" fontId="0" fillId="0" borderId="2" xfId="0" applyNumberFormat="1" applyFill="1" applyBorder="1" applyAlignment="1">
      <alignment horizontal="left"/>
    </xf>
    <xf numFmtId="0" fontId="0" fillId="0" borderId="0" xfId="0" applyFill="1" applyBorder="1" applyAlignment="1">
      <alignment horizontal="left"/>
    </xf>
    <xf numFmtId="49" fontId="7" fillId="0" borderId="33" xfId="0" applyNumberFormat="1" applyFont="1" applyFill="1" applyBorder="1" applyAlignment="1">
      <alignment horizontal="center"/>
    </xf>
    <xf numFmtId="171" fontId="0" fillId="0" borderId="14" xfId="0" applyNumberFormat="1" applyFont="1" applyFill="1" applyBorder="1" applyAlignment="1">
      <alignment horizontal="right"/>
    </xf>
    <xf numFmtId="171" fontId="0" fillId="0" borderId="55" xfId="0" applyNumberFormat="1" applyFont="1" applyFill="1" applyBorder="1" applyAlignment="1">
      <alignment horizontal="right"/>
    </xf>
    <xf numFmtId="182" fontId="0" fillId="0" borderId="2" xfId="0" applyNumberFormat="1" applyFont="1" applyFill="1" applyBorder="1" applyAlignment="1">
      <alignment horizontal="right"/>
    </xf>
    <xf numFmtId="182" fontId="9" fillId="0" borderId="2" xfId="0" applyNumberFormat="1" applyFont="1" applyFill="1" applyBorder="1" applyAlignment="1">
      <alignment horizontal="right"/>
    </xf>
    <xf numFmtId="0" fontId="9" fillId="0" borderId="0" xfId="0" applyFont="1" applyFill="1" applyBorder="1" applyAlignment="1">
      <alignment horizontal="right"/>
    </xf>
    <xf numFmtId="3" fontId="0" fillId="0" borderId="0" xfId="0" applyNumberFormat="1" applyFont="1" applyFill="1" applyBorder="1" applyAlignment="1">
      <alignment/>
    </xf>
    <xf numFmtId="3" fontId="0" fillId="0" borderId="0" xfId="0" applyNumberFormat="1" applyFont="1" applyAlignment="1">
      <alignment/>
    </xf>
    <xf numFmtId="3" fontId="0" fillId="0" borderId="9" xfId="0" applyNumberFormat="1" applyFont="1" applyBorder="1" applyAlignment="1">
      <alignment/>
    </xf>
    <xf numFmtId="0" fontId="5" fillId="2" borderId="0" xfId="0" applyFont="1" applyFill="1" applyBorder="1" applyAlignment="1">
      <alignment/>
    </xf>
    <xf numFmtId="165" fontId="11" fillId="2" borderId="2" xfId="0" applyNumberFormat="1" applyFont="1" applyFill="1" applyBorder="1" applyAlignment="1">
      <alignment horizontal="center" vertical="center"/>
    </xf>
    <xf numFmtId="171" fontId="0" fillId="0" borderId="0" xfId="0" applyNumberFormat="1" applyBorder="1" applyAlignment="1">
      <alignment/>
    </xf>
    <xf numFmtId="171" fontId="0" fillId="0" borderId="0" xfId="0" applyNumberFormat="1" applyFont="1" applyBorder="1" applyAlignment="1">
      <alignment/>
    </xf>
    <xf numFmtId="171" fontId="0" fillId="0" borderId="14" xfId="0" applyNumberFormat="1" applyBorder="1" applyAlignment="1">
      <alignment/>
    </xf>
    <xf numFmtId="49" fontId="0" fillId="2"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0" xfId="0" applyFont="1" applyBorder="1" applyAlignment="1">
      <alignment horizontal="center"/>
    </xf>
    <xf numFmtId="0" fontId="7" fillId="0" borderId="9" xfId="0" applyNumberFormat="1" applyFont="1" applyFill="1" applyBorder="1" applyAlignment="1">
      <alignment horizontal="center"/>
    </xf>
    <xf numFmtId="0" fontId="18" fillId="0" borderId="37" xfId="0" applyFont="1" applyBorder="1" applyAlignment="1">
      <alignment horizontal="center"/>
    </xf>
    <xf numFmtId="0" fontId="18" fillId="0" borderId="1" xfId="0" applyFont="1" applyBorder="1" applyAlignment="1">
      <alignment horizontal="center"/>
    </xf>
    <xf numFmtId="0" fontId="7" fillId="0" borderId="1" xfId="0" applyNumberFormat="1" applyFont="1" applyFill="1" applyBorder="1" applyAlignment="1">
      <alignment horizontal="center"/>
    </xf>
    <xf numFmtId="0" fontId="7" fillId="0" borderId="1" xfId="0" applyFont="1" applyBorder="1" applyAlignment="1">
      <alignment horizontal="center"/>
    </xf>
    <xf numFmtId="0" fontId="7" fillId="0" borderId="11" xfId="0" applyNumberFormat="1" applyFont="1" applyFill="1" applyBorder="1" applyAlignment="1">
      <alignment horizontal="center"/>
    </xf>
    <xf numFmtId="0" fontId="0" fillId="0" borderId="1" xfId="0" applyBorder="1" applyAlignment="1">
      <alignment horizontal="right"/>
    </xf>
    <xf numFmtId="0" fontId="0" fillId="0" borderId="1" xfId="0" applyFont="1" applyBorder="1" applyAlignment="1">
      <alignment horizontal="right"/>
    </xf>
    <xf numFmtId="0" fontId="0" fillId="0" borderId="0" xfId="0" applyNumberFormat="1" applyFont="1" applyFill="1" applyBorder="1" applyAlignment="1">
      <alignment horizontal="center"/>
    </xf>
    <xf numFmtId="0" fontId="0" fillId="0" borderId="0" xfId="0" applyFont="1" applyBorder="1" applyAlignment="1">
      <alignment horizontal="center"/>
    </xf>
    <xf numFmtId="0" fontId="0" fillId="0" borderId="9" xfId="0" applyNumberFormat="1" applyFont="1" applyFill="1" applyBorder="1" applyAlignment="1">
      <alignment horizontal="center"/>
    </xf>
    <xf numFmtId="0" fontId="7" fillId="0" borderId="0"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Font="1" applyBorder="1" applyAlignment="1">
      <alignment horizontal="right"/>
    </xf>
    <xf numFmtId="0" fontId="9" fillId="0" borderId="9" xfId="0" applyFont="1" applyFill="1" applyBorder="1" applyAlignment="1">
      <alignment horizontal="right"/>
    </xf>
    <xf numFmtId="182" fontId="0" fillId="0" borderId="10" xfId="0" applyNumberFormat="1" applyFont="1" applyFill="1" applyBorder="1" applyAlignment="1">
      <alignment horizontal="right"/>
    </xf>
    <xf numFmtId="0" fontId="5" fillId="0" borderId="24" xfId="0" applyFont="1" applyFill="1" applyBorder="1" applyAlignment="1">
      <alignment/>
    </xf>
    <xf numFmtId="170" fontId="0" fillId="40" borderId="30" xfId="0" applyNumberFormat="1" applyFont="1" applyFill="1" applyBorder="1" applyAlignment="1">
      <alignment/>
    </xf>
    <xf numFmtId="170" fontId="6" fillId="41" borderId="30" xfId="0" applyNumberFormat="1" applyFont="1" applyFill="1" applyBorder="1" applyAlignment="1">
      <alignment/>
    </xf>
    <xf numFmtId="0" fontId="0" fillId="14" borderId="30" xfId="0" applyFont="1" applyFill="1" applyBorder="1" applyAlignment="1">
      <alignment/>
    </xf>
    <xf numFmtId="170" fontId="0" fillId="41" borderId="24" xfId="0" applyNumberFormat="1" applyFont="1" applyFill="1" applyBorder="1" applyAlignment="1">
      <alignment/>
    </xf>
    <xf numFmtId="170" fontId="6" fillId="42" borderId="24" xfId="0" applyNumberFormat="1" applyFont="1" applyFill="1" applyBorder="1" applyAlignment="1">
      <alignment/>
    </xf>
    <xf numFmtId="0" fontId="0" fillId="14" borderId="24" xfId="0" applyFont="1" applyFill="1" applyBorder="1" applyAlignment="1">
      <alignment/>
    </xf>
    <xf numFmtId="170" fontId="0" fillId="40" borderId="24" xfId="0" applyNumberFormat="1" applyFont="1" applyFill="1" applyBorder="1" applyAlignment="1">
      <alignment/>
    </xf>
    <xf numFmtId="170" fontId="6" fillId="41" borderId="24" xfId="0" applyNumberFormat="1" applyFont="1" applyFill="1" applyBorder="1" applyAlignment="1">
      <alignment/>
    </xf>
    <xf numFmtId="170" fontId="0" fillId="42" borderId="24" xfId="0" applyNumberFormat="1" applyFont="1" applyFill="1" applyBorder="1" applyAlignment="1">
      <alignment/>
    </xf>
    <xf numFmtId="170" fontId="6" fillId="40" borderId="24" xfId="0" applyNumberFormat="1" applyFont="1" applyFill="1" applyBorder="1" applyAlignment="1">
      <alignment/>
    </xf>
    <xf numFmtId="170" fontId="0" fillId="40" borderId="54" xfId="0" applyNumberFormat="1" applyFont="1" applyFill="1" applyBorder="1" applyAlignment="1">
      <alignment/>
    </xf>
    <xf numFmtId="0" fontId="0" fillId="14" borderId="54" xfId="0" applyFont="1" applyFill="1" applyBorder="1" applyAlignment="1">
      <alignment/>
    </xf>
    <xf numFmtId="170" fontId="6" fillId="41" borderId="54" xfId="0" applyNumberFormat="1" applyFont="1" applyFill="1" applyBorder="1" applyAlignment="1">
      <alignment/>
    </xf>
    <xf numFmtId="0" fontId="0" fillId="4" borderId="60" xfId="0" applyFill="1" applyBorder="1" applyAlignment="1" quotePrefix="1">
      <alignment horizontal="right"/>
    </xf>
    <xf numFmtId="0" fontId="6" fillId="0" borderId="24" xfId="0" applyFont="1" applyFill="1" applyBorder="1" applyAlignment="1">
      <alignment/>
    </xf>
    <xf numFmtId="165" fontId="0" fillId="0" borderId="0" xfId="0" applyNumberFormat="1" applyFont="1" applyAlignment="1">
      <alignment/>
    </xf>
    <xf numFmtId="49" fontId="0" fillId="7" borderId="20" xfId="0" applyNumberFormat="1" applyFill="1" applyBorder="1" applyAlignment="1">
      <alignment horizontal="center"/>
    </xf>
    <xf numFmtId="0" fontId="9" fillId="8" borderId="18" xfId="0" applyFont="1" applyFill="1" applyBorder="1" applyAlignment="1">
      <alignment/>
    </xf>
    <xf numFmtId="49" fontId="9" fillId="8" borderId="17" xfId="0" applyNumberFormat="1" applyFont="1" applyFill="1" applyBorder="1" applyAlignment="1">
      <alignment vertical="center"/>
    </xf>
    <xf numFmtId="165" fontId="9" fillId="8" borderId="17" xfId="0" applyNumberFormat="1" applyFont="1" applyFill="1" applyBorder="1" applyAlignment="1">
      <alignment horizontal="left" vertical="center"/>
    </xf>
    <xf numFmtId="49" fontId="9" fillId="8" borderId="17" xfId="0" applyNumberFormat="1" applyFont="1" applyFill="1" applyBorder="1" applyAlignment="1">
      <alignment horizontal="center" vertical="center"/>
    </xf>
    <xf numFmtId="49" fontId="0" fillId="7" borderId="61" xfId="0" applyNumberFormat="1" applyFill="1" applyBorder="1" applyAlignment="1">
      <alignment horizontal="center"/>
    </xf>
    <xf numFmtId="49" fontId="0" fillId="8" borderId="7" xfId="0" applyNumberFormat="1" applyFill="1" applyBorder="1" applyAlignment="1">
      <alignment horizontal="center"/>
    </xf>
    <xf numFmtId="49" fontId="0" fillId="8" borderId="19" xfId="0" applyNumberFormat="1" applyFill="1" applyBorder="1" applyAlignment="1">
      <alignment horizontal="center"/>
    </xf>
    <xf numFmtId="49" fontId="8" fillId="8" borderId="7" xfId="0" applyNumberFormat="1" applyFont="1" applyFill="1" applyBorder="1" applyAlignment="1">
      <alignment horizontal="center"/>
    </xf>
    <xf numFmtId="49" fontId="9" fillId="8" borderId="25" xfId="0" applyNumberFormat="1" applyFont="1" applyFill="1" applyBorder="1" applyAlignment="1">
      <alignment vertical="center"/>
    </xf>
    <xf numFmtId="49" fontId="9" fillId="8" borderId="16" xfId="0" applyNumberFormat="1" applyFont="1" applyFill="1" applyBorder="1" applyAlignment="1">
      <alignment vertical="center"/>
    </xf>
    <xf numFmtId="165" fontId="9" fillId="8" borderId="25" xfId="0" applyNumberFormat="1" applyFont="1" applyFill="1" applyBorder="1" applyAlignment="1">
      <alignment horizontal="left" vertical="center"/>
    </xf>
    <xf numFmtId="165" fontId="9" fillId="8" borderId="16" xfId="0" applyNumberFormat="1" applyFont="1" applyFill="1" applyBorder="1" applyAlignment="1">
      <alignment horizontal="left" vertical="center"/>
    </xf>
    <xf numFmtId="172" fontId="9" fillId="0" borderId="0" xfId="0" applyNumberFormat="1" applyFont="1" applyAlignment="1">
      <alignment/>
    </xf>
    <xf numFmtId="2" fontId="0" fillId="0" borderId="0" xfId="0" applyNumberFormat="1" applyFont="1" applyAlignment="1">
      <alignment/>
    </xf>
    <xf numFmtId="0" fontId="5" fillId="32" borderId="0" xfId="0" applyFont="1" applyFill="1" applyBorder="1" applyAlignment="1">
      <alignment horizontal="center"/>
    </xf>
    <xf numFmtId="0" fontId="5" fillId="32" borderId="0" xfId="0" applyFont="1" applyFill="1" applyBorder="1" applyAlignment="1">
      <alignment/>
    </xf>
    <xf numFmtId="166" fontId="5" fillId="2" borderId="2" xfId="0" applyNumberFormat="1" applyFont="1" applyFill="1" applyBorder="1" applyAlignment="1">
      <alignment horizontal="center" vertical="center"/>
    </xf>
    <xf numFmtId="166" fontId="5" fillId="2" borderId="32" xfId="0" applyNumberFormat="1" applyFont="1" applyFill="1" applyBorder="1" applyAlignment="1">
      <alignment horizontal="center"/>
    </xf>
    <xf numFmtId="166" fontId="5" fillId="2" borderId="32" xfId="0" applyNumberFormat="1" applyFont="1" applyFill="1" applyBorder="1" applyAlignment="1">
      <alignment horizontal="center" vertical="center"/>
    </xf>
    <xf numFmtId="0" fontId="5" fillId="10" borderId="32" xfId="0" applyNumberFormat="1" applyFont="1" applyFill="1" applyBorder="1" applyAlignment="1">
      <alignment horizontal="center"/>
    </xf>
    <xf numFmtId="49" fontId="7" fillId="0" borderId="1" xfId="0" applyNumberFormat="1" applyFont="1" applyFill="1" applyBorder="1" applyAlignment="1">
      <alignment horizontal="center"/>
    </xf>
    <xf numFmtId="49" fontId="7" fillId="0" borderId="0" xfId="0" applyNumberFormat="1" applyFont="1" applyFill="1" applyBorder="1" applyAlignment="1">
      <alignment horizontal="center"/>
    </xf>
    <xf numFmtId="0" fontId="9" fillId="43" borderId="14" xfId="0" applyFont="1" applyFill="1" applyBorder="1" applyAlignment="1">
      <alignment horizontal="center"/>
    </xf>
    <xf numFmtId="0" fontId="9" fillId="43" borderId="33" xfId="0" applyFont="1" applyFill="1" applyBorder="1" applyAlignment="1">
      <alignment horizontal="center"/>
    </xf>
    <xf numFmtId="0" fontId="0" fillId="0" borderId="40" xfId="0" applyBorder="1" applyAlignment="1">
      <alignment/>
    </xf>
    <xf numFmtId="0" fontId="9" fillId="44" borderId="59" xfId="0" applyFont="1" applyFill="1" applyBorder="1" applyAlignment="1">
      <alignment horizontal="center"/>
    </xf>
    <xf numFmtId="0" fontId="9" fillId="44" borderId="60" xfId="0" applyFont="1" applyFill="1" applyBorder="1" applyAlignment="1">
      <alignment horizontal="center"/>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right"/>
    </xf>
    <xf numFmtId="1" fontId="0" fillId="0" borderId="2" xfId="0" applyNumberFormat="1" applyFont="1" applyFill="1" applyBorder="1" applyAlignment="1">
      <alignment horizontal="right"/>
    </xf>
    <xf numFmtId="0" fontId="17" fillId="0" borderId="5" xfId="0" applyNumberFormat="1" applyFont="1" applyFill="1" applyBorder="1" applyAlignment="1">
      <alignment horizontal="center"/>
    </xf>
    <xf numFmtId="0" fontId="17" fillId="0" borderId="7" xfId="0" applyNumberFormat="1" applyFont="1" applyFill="1" applyBorder="1" applyAlignment="1">
      <alignment horizontal="center"/>
    </xf>
    <xf numFmtId="0" fontId="17" fillId="0" borderId="6" xfId="0" applyNumberFormat="1" applyFont="1" applyFill="1" applyBorder="1" applyAlignment="1">
      <alignment horizontal="center"/>
    </xf>
    <xf numFmtId="0" fontId="9" fillId="0" borderId="7" xfId="0" applyNumberFormat="1" applyFont="1" applyFill="1" applyBorder="1" applyAlignment="1">
      <alignment horizontal="center"/>
    </xf>
    <xf numFmtId="0" fontId="9" fillId="25" borderId="15" xfId="0" applyFont="1" applyFill="1" applyBorder="1" applyAlignment="1">
      <alignment horizontal="center"/>
    </xf>
    <xf numFmtId="0" fontId="12" fillId="4" borderId="0" xfId="0" applyFont="1" applyFill="1" applyBorder="1" applyAlignment="1">
      <alignment horizontal="center"/>
    </xf>
    <xf numFmtId="0" fontId="25" fillId="2" borderId="34" xfId="0" applyNumberFormat="1" applyFont="1" applyFill="1" applyBorder="1" applyAlignment="1">
      <alignment horizontal="center"/>
    </xf>
    <xf numFmtId="0" fontId="9" fillId="4" borderId="41" xfId="0" applyNumberFormat="1" applyFont="1" applyFill="1" applyBorder="1" applyAlignment="1">
      <alignment horizontal="center"/>
    </xf>
    <xf numFmtId="0" fontId="9" fillId="4" borderId="40" xfId="0" applyNumberFormat="1" applyFont="1" applyFill="1" applyBorder="1" applyAlignment="1">
      <alignment horizontal="center"/>
    </xf>
    <xf numFmtId="0" fontId="9" fillId="0" borderId="0" xfId="0" applyNumberFormat="1" applyFont="1" applyFill="1" applyBorder="1" applyAlignment="1">
      <alignment horizontal="center"/>
    </xf>
    <xf numFmtId="0" fontId="29" fillId="2" borderId="0" xfId="0" applyFont="1" applyFill="1" applyBorder="1" applyAlignment="1">
      <alignment horizontal="center"/>
    </xf>
    <xf numFmtId="176" fontId="9" fillId="0" borderId="24" xfId="0" applyNumberFormat="1" applyFont="1" applyBorder="1" applyAlignment="1">
      <alignment/>
    </xf>
    <xf numFmtId="0" fontId="0" fillId="0" borderId="24" xfId="0" applyBorder="1" applyAlignment="1">
      <alignment/>
    </xf>
    <xf numFmtId="164" fontId="5" fillId="2" borderId="9" xfId="0" applyNumberFormat="1" applyFont="1" applyFill="1" applyBorder="1" applyAlignment="1">
      <alignment vertical="center"/>
    </xf>
    <xf numFmtId="0" fontId="0" fillId="0" borderId="1" xfId="0" applyFont="1" applyBorder="1" applyAlignment="1">
      <alignment/>
    </xf>
    <xf numFmtId="0" fontId="0" fillId="0" borderId="11" xfId="0" applyBorder="1" applyAlignment="1">
      <alignment/>
    </xf>
    <xf numFmtId="0" fontId="0" fillId="0" borderId="37" xfId="0" applyFont="1" applyBorder="1" applyAlignment="1">
      <alignment horizontal="right"/>
    </xf>
    <xf numFmtId="0" fontId="0" fillId="3" borderId="6" xfId="0" applyFill="1" applyBorder="1" applyAlignment="1">
      <alignment horizontal="center"/>
    </xf>
    <xf numFmtId="0" fontId="0" fillId="3" borderId="7" xfId="0" applyFill="1" applyBorder="1" applyAlignment="1">
      <alignment horizontal="center"/>
    </xf>
    <xf numFmtId="0" fontId="0" fillId="0" borderId="1" xfId="0" applyFont="1" applyFill="1" applyBorder="1" applyAlignment="1">
      <alignment horizontal="right"/>
    </xf>
    <xf numFmtId="49" fontId="9" fillId="2" borderId="62" xfId="0" applyNumberFormat="1" applyFont="1" applyFill="1" applyBorder="1" applyAlignment="1">
      <alignment vertical="center"/>
    </xf>
    <xf numFmtId="49" fontId="9" fillId="2" borderId="25" xfId="0" applyNumberFormat="1" applyFont="1" applyFill="1" applyBorder="1" applyAlignment="1">
      <alignment vertical="center"/>
    </xf>
    <xf numFmtId="165" fontId="9" fillId="2" borderId="25" xfId="0" applyNumberFormat="1" applyFont="1" applyFill="1" applyBorder="1" applyAlignment="1">
      <alignment horizontal="left" vertical="center"/>
    </xf>
    <xf numFmtId="165" fontId="9" fillId="2" borderId="25" xfId="0" applyNumberFormat="1" applyFont="1" applyFill="1" applyBorder="1" applyAlignment="1">
      <alignment horizontal="center" vertical="center"/>
    </xf>
    <xf numFmtId="9" fontId="0" fillId="2" borderId="16" xfId="0" applyNumberFormat="1" applyFont="1" applyFill="1" applyBorder="1" applyAlignment="1">
      <alignment horizontal="center" vertical="center"/>
    </xf>
    <xf numFmtId="49" fontId="9" fillId="2" borderId="10" xfId="0" applyNumberFormat="1" applyFont="1" applyFill="1" applyBorder="1" applyAlignment="1">
      <alignment vertical="center"/>
    </xf>
    <xf numFmtId="49" fontId="9" fillId="2" borderId="16" xfId="0" applyNumberFormat="1" applyFont="1" applyFill="1" applyBorder="1" applyAlignment="1">
      <alignment vertical="center"/>
    </xf>
    <xf numFmtId="165" fontId="9" fillId="2" borderId="16" xfId="0" applyNumberFormat="1" applyFont="1" applyFill="1" applyBorder="1" applyAlignment="1">
      <alignment horizontal="left" vertical="center"/>
    </xf>
    <xf numFmtId="165" fontId="9" fillId="2" borderId="16" xfId="0" applyNumberFormat="1" applyFont="1" applyFill="1" applyBorder="1" applyAlignment="1">
      <alignment horizontal="center" vertical="center"/>
    </xf>
    <xf numFmtId="0" fontId="6" fillId="0" borderId="0" xfId="0" applyNumberFormat="1" applyFont="1" applyFill="1" applyBorder="1" applyAlignment="1">
      <alignment/>
    </xf>
    <xf numFmtId="0" fontId="0" fillId="4" borderId="32" xfId="0" applyNumberFormat="1" applyFont="1" applyFill="1" applyBorder="1" applyAlignment="1">
      <alignment horizontal="center"/>
    </xf>
    <xf numFmtId="0" fontId="0" fillId="4" borderId="16" xfId="0" applyNumberFormat="1" applyFont="1" applyFill="1" applyBorder="1" applyAlignment="1">
      <alignment horizontal="center"/>
    </xf>
    <xf numFmtId="0" fontId="0" fillId="0" borderId="0" xfId="0" applyNumberFormat="1" applyBorder="1" applyAlignment="1">
      <alignment/>
    </xf>
    <xf numFmtId="0" fontId="12" fillId="0" borderId="0" xfId="0" applyFont="1" applyBorder="1" applyAlignment="1">
      <alignment/>
    </xf>
    <xf numFmtId="171" fontId="0" fillId="4" borderId="32" xfId="0" applyNumberFormat="1" applyFill="1" applyBorder="1" applyAlignment="1">
      <alignment horizontal="center"/>
    </xf>
    <xf numFmtId="17" fontId="0" fillId="0" borderId="14" xfId="0" applyNumberFormat="1" applyFill="1" applyBorder="1" applyAlignment="1" quotePrefix="1">
      <alignment/>
    </xf>
    <xf numFmtId="0" fontId="0" fillId="0" borderId="0" xfId="0" applyFill="1" applyBorder="1" applyAlignment="1" quotePrefix="1">
      <alignment horizontal="right"/>
    </xf>
    <xf numFmtId="0" fontId="0" fillId="0" borderId="14" xfId="0" applyFill="1" applyBorder="1" applyAlignment="1" quotePrefix="1">
      <alignment/>
    </xf>
    <xf numFmtId="0" fontId="0" fillId="0" borderId="14" xfId="0" applyFill="1" applyBorder="1" applyAlignment="1">
      <alignment/>
    </xf>
    <xf numFmtId="0" fontId="0" fillId="0" borderId="14" xfId="0" applyFill="1" applyBorder="1" applyAlignment="1">
      <alignment horizontal="left"/>
    </xf>
    <xf numFmtId="0" fontId="0" fillId="0" borderId="14" xfId="0" applyNumberFormat="1" applyFont="1" applyFill="1" applyBorder="1" applyAlignment="1">
      <alignment/>
    </xf>
    <xf numFmtId="0" fontId="0" fillId="0" borderId="0" xfId="0" applyNumberFormat="1" applyFont="1" applyFill="1" applyBorder="1" applyAlignment="1" quotePrefix="1">
      <alignment horizontal="right"/>
    </xf>
    <xf numFmtId="17" fontId="0" fillId="0" borderId="0" xfId="0" applyNumberFormat="1" applyFont="1" applyFill="1" applyBorder="1" applyAlignment="1" quotePrefix="1">
      <alignment horizontal="right"/>
    </xf>
    <xf numFmtId="17" fontId="0" fillId="0" borderId="0" xfId="0" applyNumberFormat="1" applyFill="1" applyBorder="1" applyAlignment="1" quotePrefix="1">
      <alignment horizontal="right"/>
    </xf>
    <xf numFmtId="0" fontId="9" fillId="7" borderId="63" xfId="0" applyFont="1" applyFill="1" applyBorder="1" applyAlignment="1">
      <alignment horizontal="center"/>
    </xf>
    <xf numFmtId="0" fontId="9" fillId="7" borderId="24" xfId="0" applyFont="1" applyFill="1" applyBorder="1" applyAlignment="1">
      <alignment horizontal="center"/>
    </xf>
    <xf numFmtId="0" fontId="9" fillId="35" borderId="24" xfId="0" applyFont="1" applyFill="1" applyBorder="1" applyAlignment="1">
      <alignment horizontal="center"/>
    </xf>
    <xf numFmtId="0" fontId="9" fillId="11" borderId="24" xfId="0" applyFont="1" applyFill="1" applyBorder="1" applyAlignment="1">
      <alignment horizontal="center"/>
    </xf>
    <xf numFmtId="0" fontId="9" fillId="15" borderId="24" xfId="0" applyFont="1" applyFill="1" applyBorder="1" applyAlignment="1">
      <alignment horizontal="center"/>
    </xf>
    <xf numFmtId="0" fontId="9" fillId="8" borderId="24" xfId="0" applyFont="1" applyFill="1" applyBorder="1" applyAlignment="1">
      <alignment horizontal="center"/>
    </xf>
    <xf numFmtId="0" fontId="9" fillId="34" borderId="24" xfId="0" applyFont="1" applyFill="1" applyBorder="1" applyAlignment="1">
      <alignment horizontal="center"/>
    </xf>
    <xf numFmtId="0" fontId="9" fillId="3" borderId="24" xfId="0" applyFont="1" applyFill="1" applyBorder="1" applyAlignment="1">
      <alignment horizontal="center"/>
    </xf>
    <xf numFmtId="0" fontId="9" fillId="36" borderId="24" xfId="0" applyFont="1" applyFill="1" applyBorder="1" applyAlignment="1">
      <alignment horizontal="center"/>
    </xf>
    <xf numFmtId="0" fontId="9" fillId="43" borderId="24" xfId="0" applyFont="1" applyFill="1" applyBorder="1" applyAlignment="1">
      <alignment horizontal="center"/>
    </xf>
    <xf numFmtId="0" fontId="9" fillId="44" borderId="64" xfId="0" applyFont="1" applyFill="1" applyBorder="1" applyAlignment="1">
      <alignment horizontal="center"/>
    </xf>
    <xf numFmtId="0" fontId="9" fillId="0" borderId="33" xfId="0" applyFont="1" applyFill="1" applyBorder="1" applyAlignment="1">
      <alignment horizontal="center"/>
    </xf>
    <xf numFmtId="0" fontId="11" fillId="45" borderId="2" xfId="0" applyFont="1" applyFill="1" applyBorder="1" applyAlignment="1">
      <alignment/>
    </xf>
    <xf numFmtId="0" fontId="9" fillId="44" borderId="25" xfId="0" applyFont="1" applyFill="1" applyBorder="1" applyAlignment="1">
      <alignment horizontal="center"/>
    </xf>
    <xf numFmtId="0" fontId="9" fillId="44" borderId="32" xfId="0" applyFont="1" applyFill="1" applyBorder="1" applyAlignment="1">
      <alignment horizontal="center"/>
    </xf>
    <xf numFmtId="0" fontId="9" fillId="44" borderId="65" xfId="0" applyFont="1" applyFill="1" applyBorder="1" applyAlignment="1">
      <alignment horizontal="center"/>
    </xf>
    <xf numFmtId="0" fontId="17" fillId="2" borderId="0" xfId="0" applyNumberFormat="1" applyFont="1" applyFill="1" applyBorder="1" applyAlignment="1">
      <alignment horizontal="center"/>
    </xf>
    <xf numFmtId="0" fontId="6" fillId="0" borderId="22" xfId="0" applyFont="1" applyFill="1" applyBorder="1" applyAlignment="1" quotePrefix="1">
      <alignment horizontal="center"/>
    </xf>
    <xf numFmtId="0" fontId="6" fillId="14" borderId="66" xfId="0" applyFont="1" applyFill="1" applyBorder="1" applyAlignment="1" quotePrefix="1">
      <alignment horizontal="center"/>
    </xf>
    <xf numFmtId="170" fontId="0" fillId="3" borderId="67" xfId="0" applyNumberFormat="1" applyFont="1" applyFill="1" applyBorder="1" applyAlignment="1">
      <alignment horizontal="center"/>
    </xf>
    <xf numFmtId="170" fontId="0" fillId="3" borderId="68" xfId="0" applyNumberFormat="1" applyFont="1" applyFill="1" applyBorder="1" applyAlignment="1">
      <alignment horizontal="center"/>
    </xf>
    <xf numFmtId="170" fontId="0" fillId="3" borderId="69" xfId="0" applyNumberFormat="1" applyFont="1" applyFill="1" applyBorder="1" applyAlignment="1">
      <alignment horizontal="center"/>
    </xf>
    <xf numFmtId="0" fontId="0" fillId="3" borderId="70" xfId="0" applyFill="1" applyBorder="1" applyAlignment="1">
      <alignment horizontal="center"/>
    </xf>
    <xf numFmtId="173" fontId="9" fillId="3" borderId="71" xfId="0" applyNumberFormat="1" applyFont="1" applyFill="1" applyBorder="1" applyAlignment="1">
      <alignment/>
    </xf>
    <xf numFmtId="176" fontId="9" fillId="3" borderId="72" xfId="0" applyNumberFormat="1" applyFont="1" applyFill="1" applyBorder="1" applyAlignment="1">
      <alignment/>
    </xf>
    <xf numFmtId="0" fontId="0" fillId="3" borderId="73" xfId="0" applyNumberFormat="1" applyFont="1" applyFill="1" applyBorder="1" applyAlignment="1">
      <alignment horizontal="center"/>
    </xf>
    <xf numFmtId="0" fontId="9" fillId="3" borderId="74" xfId="0" applyFont="1" applyFill="1" applyBorder="1" applyAlignment="1">
      <alignment/>
    </xf>
    <xf numFmtId="0" fontId="0" fillId="3" borderId="75" xfId="0" applyFill="1" applyBorder="1" applyAlignment="1">
      <alignment horizontal="center"/>
    </xf>
    <xf numFmtId="0" fontId="0" fillId="3" borderId="76" xfId="0" applyFill="1" applyBorder="1" applyAlignment="1">
      <alignment horizontal="center"/>
    </xf>
    <xf numFmtId="0" fontId="0" fillId="3" borderId="68" xfId="0" applyFill="1" applyBorder="1" applyAlignment="1">
      <alignment horizontal="center"/>
    </xf>
    <xf numFmtId="0" fontId="0" fillId="3" borderId="67" xfId="0" applyFill="1" applyBorder="1" applyAlignment="1">
      <alignment horizontal="center"/>
    </xf>
    <xf numFmtId="0" fontId="0" fillId="3" borderId="77" xfId="0" applyFill="1" applyBorder="1" applyAlignment="1">
      <alignment horizontal="center"/>
    </xf>
    <xf numFmtId="0" fontId="0" fillId="3" borderId="68" xfId="0" applyNumberFormat="1" applyFont="1" applyFill="1" applyBorder="1" applyAlignment="1">
      <alignment horizontal="center"/>
    </xf>
    <xf numFmtId="181" fontId="0" fillId="3" borderId="66" xfId="0" applyNumberFormat="1" applyFill="1" applyBorder="1" applyAlignment="1">
      <alignment/>
    </xf>
    <xf numFmtId="0" fontId="0" fillId="3" borderId="70" xfId="0" applyNumberFormat="1" applyFont="1" applyFill="1" applyBorder="1" applyAlignment="1">
      <alignment horizontal="center"/>
    </xf>
    <xf numFmtId="170" fontId="0" fillId="3" borderId="77" xfId="0" applyNumberFormat="1" applyFont="1" applyFill="1" applyBorder="1" applyAlignment="1">
      <alignment horizontal="center"/>
    </xf>
    <xf numFmtId="0" fontId="9" fillId="3" borderId="66" xfId="0" applyNumberFormat="1" applyFont="1" applyFill="1" applyBorder="1" applyAlignment="1">
      <alignment/>
    </xf>
    <xf numFmtId="171" fontId="0" fillId="0" borderId="30" xfId="0" applyNumberFormat="1" applyFont="1" applyFill="1" applyBorder="1" applyAlignment="1">
      <alignment horizontal="right"/>
    </xf>
    <xf numFmtId="171" fontId="0" fillId="0" borderId="24" xfId="0" applyNumberFormat="1" applyFont="1" applyFill="1" applyBorder="1" applyAlignment="1">
      <alignment horizontal="right"/>
    </xf>
    <xf numFmtId="171" fontId="0" fillId="3" borderId="72" xfId="0" applyNumberFormat="1" applyFont="1" applyFill="1" applyBorder="1" applyAlignment="1">
      <alignment horizontal="right"/>
    </xf>
    <xf numFmtId="0" fontId="0" fillId="2" borderId="0" xfId="0" applyFont="1" applyFill="1" applyBorder="1" applyAlignment="1">
      <alignment horizontal="center"/>
    </xf>
    <xf numFmtId="49" fontId="9" fillId="2" borderId="1"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xf>
    <xf numFmtId="49" fontId="9" fillId="2" borderId="0" xfId="0" applyNumberFormat="1" applyFont="1" applyFill="1" applyBorder="1" applyAlignment="1">
      <alignment vertical="center"/>
    </xf>
    <xf numFmtId="0" fontId="0" fillId="3" borderId="78" xfId="0" applyFill="1" applyBorder="1" applyAlignment="1">
      <alignment horizontal="center"/>
    </xf>
    <xf numFmtId="0" fontId="0" fillId="3" borderId="79" xfId="0" applyFill="1" applyBorder="1" applyAlignment="1">
      <alignment horizontal="center"/>
    </xf>
    <xf numFmtId="181" fontId="0" fillId="3" borderId="72" xfId="0" applyNumberFormat="1" applyFill="1" applyBorder="1" applyAlignment="1">
      <alignment/>
    </xf>
    <xf numFmtId="49" fontId="0" fillId="7" borderId="80" xfId="0" applyNumberFormat="1" applyFill="1" applyBorder="1" applyAlignment="1">
      <alignment horizontal="center"/>
    </xf>
    <xf numFmtId="49" fontId="0" fillId="8" borderId="68" xfId="0" applyNumberFormat="1" applyFill="1" applyBorder="1" applyAlignment="1">
      <alignment horizontal="center"/>
    </xf>
    <xf numFmtId="49" fontId="0" fillId="11" borderId="68" xfId="0" applyNumberFormat="1" applyFill="1" applyBorder="1" applyAlignment="1">
      <alignment horizontal="center"/>
    </xf>
    <xf numFmtId="49" fontId="0" fillId="3" borderId="81" xfId="0" applyNumberFormat="1" applyFill="1" applyBorder="1" applyAlignment="1">
      <alignment horizontal="center"/>
    </xf>
    <xf numFmtId="49" fontId="0" fillId="11" borderId="81" xfId="0" applyNumberFormat="1" applyFill="1" applyBorder="1" applyAlignment="1">
      <alignment horizontal="center"/>
    </xf>
    <xf numFmtId="49" fontId="0" fillId="7" borderId="82" xfId="0" applyNumberFormat="1" applyFill="1" applyBorder="1" applyAlignment="1">
      <alignment horizontal="center"/>
    </xf>
    <xf numFmtId="49" fontId="0" fillId="3" borderId="68" xfId="0" applyNumberFormat="1" applyFill="1" applyBorder="1" applyAlignment="1">
      <alignment horizontal="center"/>
    </xf>
    <xf numFmtId="49" fontId="0" fillId="7" borderId="68" xfId="0" applyNumberFormat="1" applyFill="1" applyBorder="1" applyAlignment="1">
      <alignment horizontal="center"/>
    </xf>
    <xf numFmtId="49" fontId="0" fillId="8" borderId="81" xfId="0" applyNumberFormat="1" applyFont="1" applyFill="1" applyBorder="1" applyAlignment="1">
      <alignment horizontal="center"/>
    </xf>
    <xf numFmtId="49" fontId="0" fillId="8" borderId="19" xfId="0" applyNumberFormat="1" applyFont="1" applyFill="1" applyBorder="1" applyAlignment="1">
      <alignment horizontal="center"/>
    </xf>
    <xf numFmtId="49" fontId="0" fillId="8" borderId="81" xfId="0" applyNumberFormat="1" applyFill="1" applyBorder="1" applyAlignment="1">
      <alignment horizontal="center"/>
    </xf>
    <xf numFmtId="49" fontId="0" fillId="7" borderId="81" xfId="0" applyNumberFormat="1" applyFill="1" applyBorder="1" applyAlignment="1">
      <alignment horizontal="center"/>
    </xf>
    <xf numFmtId="49" fontId="0" fillId="11" borderId="70" xfId="0" applyNumberFormat="1" applyFill="1" applyBorder="1" applyAlignment="1">
      <alignment horizontal="center"/>
    </xf>
    <xf numFmtId="49" fontId="0" fillId="11" borderId="83" xfId="0" applyNumberFormat="1" applyFill="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horizontal="center"/>
    </xf>
    <xf numFmtId="0" fontId="9" fillId="2" borderId="1" xfId="0" applyFont="1" applyFill="1" applyBorder="1" applyAlignment="1">
      <alignment horizontal="center"/>
    </xf>
    <xf numFmtId="0" fontId="9" fillId="2" borderId="0" xfId="0" applyFont="1" applyFill="1" applyBorder="1" applyAlignment="1">
      <alignment horizontal="center"/>
    </xf>
    <xf numFmtId="0" fontId="0" fillId="2" borderId="0" xfId="0" applyFont="1" applyFill="1" applyBorder="1" applyAlignment="1">
      <alignment/>
    </xf>
    <xf numFmtId="0" fontId="9" fillId="2" borderId="0" xfId="0" applyNumberFormat="1" applyFont="1" applyFill="1" applyBorder="1" applyAlignment="1">
      <alignment horizontal="center"/>
    </xf>
    <xf numFmtId="9" fontId="0" fillId="2" borderId="0" xfId="0" applyNumberFormat="1" applyFont="1" applyFill="1" applyBorder="1" applyAlignment="1">
      <alignment horizontal="center"/>
    </xf>
    <xf numFmtId="9" fontId="0" fillId="2" borderId="2" xfId="0" applyNumberFormat="1" applyFont="1" applyFill="1" applyBorder="1" applyAlignment="1">
      <alignment horizontal="center"/>
    </xf>
    <xf numFmtId="0" fontId="0" fillId="2" borderId="0" xfId="0" applyFont="1" applyFill="1" applyBorder="1" applyAlignment="1">
      <alignment horizontal="left"/>
    </xf>
    <xf numFmtId="0" fontId="0" fillId="2" borderId="0" xfId="0" applyFont="1" applyFill="1" applyBorder="1" applyAlignment="1">
      <alignment horizontal="center" wrapText="1"/>
    </xf>
    <xf numFmtId="49" fontId="0" fillId="2" borderId="0" xfId="0" applyNumberFormat="1" applyFont="1" applyFill="1" applyBorder="1" applyAlignment="1">
      <alignment/>
    </xf>
    <xf numFmtId="0" fontId="0" fillId="2" borderId="1" xfId="0" applyFont="1" applyFill="1" applyBorder="1" applyAlignment="1">
      <alignment horizontal="left" wrapText="1"/>
    </xf>
    <xf numFmtId="164" fontId="0" fillId="2" borderId="0" xfId="0" applyNumberFormat="1" applyFont="1" applyFill="1" applyBorder="1" applyAlignment="1">
      <alignment/>
    </xf>
    <xf numFmtId="164" fontId="9" fillId="2" borderId="0" xfId="0" applyNumberFormat="1" applyFont="1" applyFill="1" applyBorder="1" applyAlignment="1">
      <alignment/>
    </xf>
    <xf numFmtId="165" fontId="0" fillId="2" borderId="0" xfId="0" applyNumberFormat="1" applyFont="1" applyFill="1" applyBorder="1" applyAlignment="1">
      <alignment horizontal="center"/>
    </xf>
    <xf numFmtId="165" fontId="9" fillId="2" borderId="0" xfId="0" applyNumberFormat="1" applyFont="1" applyFill="1" applyBorder="1" applyAlignment="1">
      <alignment horizontal="left" vertical="center"/>
    </xf>
    <xf numFmtId="165" fontId="9" fillId="2" borderId="0" xfId="0" applyNumberFormat="1" applyFont="1" applyFill="1" applyBorder="1" applyAlignment="1">
      <alignment horizontal="center" vertical="center"/>
    </xf>
    <xf numFmtId="0" fontId="0" fillId="2" borderId="2" xfId="0" applyFont="1" applyFill="1" applyBorder="1" applyAlignment="1">
      <alignment/>
    </xf>
    <xf numFmtId="0" fontId="0" fillId="2" borderId="32" xfId="0" applyFont="1" applyFill="1" applyBorder="1" applyAlignment="1">
      <alignment/>
    </xf>
    <xf numFmtId="0" fontId="0" fillId="2" borderId="1" xfId="0" applyFont="1" applyFill="1" applyBorder="1" applyAlignment="1">
      <alignment horizontal="center" wrapText="1"/>
    </xf>
    <xf numFmtId="166" fontId="0" fillId="2" borderId="0" xfId="0" applyNumberFormat="1" applyFont="1" applyFill="1" applyBorder="1" applyAlignment="1">
      <alignment horizontal="center"/>
    </xf>
    <xf numFmtId="0" fontId="0" fillId="0" borderId="0" xfId="0" applyBorder="1" applyAlignment="1">
      <alignment horizontal="right"/>
    </xf>
    <xf numFmtId="49" fontId="0" fillId="3" borderId="24" xfId="0" applyNumberFormat="1" applyFill="1" applyBorder="1" applyAlignment="1">
      <alignment/>
    </xf>
    <xf numFmtId="49" fontId="0" fillId="3" borderId="24" xfId="0" applyNumberFormat="1" applyFont="1" applyFill="1" applyBorder="1" applyAlignment="1">
      <alignment horizontal="left"/>
    </xf>
    <xf numFmtId="0" fontId="9" fillId="46" borderId="18" xfId="0" applyFont="1" applyFill="1" applyBorder="1" applyAlignment="1">
      <alignment/>
    </xf>
    <xf numFmtId="0" fontId="9" fillId="47" borderId="18" xfId="0" applyFont="1" applyFill="1" applyBorder="1" applyAlignment="1">
      <alignment/>
    </xf>
    <xf numFmtId="0" fontId="9" fillId="48" borderId="18" xfId="0" applyFont="1" applyFill="1" applyBorder="1" applyAlignment="1">
      <alignment/>
    </xf>
    <xf numFmtId="0" fontId="9" fillId="49" borderId="18" xfId="0" applyFont="1" applyFill="1" applyBorder="1" applyAlignment="1">
      <alignment/>
    </xf>
    <xf numFmtId="0" fontId="9" fillId="7" borderId="84" xfId="0" applyFont="1" applyFill="1" applyBorder="1" applyAlignment="1">
      <alignment/>
    </xf>
    <xf numFmtId="0" fontId="0" fillId="3" borderId="81" xfId="0" applyFill="1" applyBorder="1" applyAlignment="1">
      <alignment horizontal="center"/>
    </xf>
    <xf numFmtId="0" fontId="0" fillId="3" borderId="19" xfId="0" applyFill="1" applyBorder="1" applyAlignment="1">
      <alignment horizontal="center"/>
    </xf>
    <xf numFmtId="0" fontId="0" fillId="3" borderId="83" xfId="0" applyFill="1" applyBorder="1" applyAlignment="1">
      <alignment horizontal="center"/>
    </xf>
    <xf numFmtId="0" fontId="0" fillId="3" borderId="21" xfId="0" applyFill="1" applyBorder="1" applyAlignment="1">
      <alignment horizontal="center"/>
    </xf>
    <xf numFmtId="0" fontId="0" fillId="3" borderId="77" xfId="0" applyFont="1" applyFill="1" applyBorder="1" applyAlignment="1">
      <alignment horizontal="center"/>
    </xf>
    <xf numFmtId="0" fontId="0" fillId="3" borderId="75" xfId="0" applyFont="1" applyFill="1" applyBorder="1" applyAlignment="1">
      <alignment horizontal="center"/>
    </xf>
    <xf numFmtId="0" fontId="0" fillId="3" borderId="67" xfId="0" applyFont="1" applyFill="1" applyBorder="1" applyAlignment="1">
      <alignment horizontal="center"/>
    </xf>
    <xf numFmtId="0" fontId="0" fillId="3" borderId="76" xfId="0" applyFont="1" applyFill="1" applyBorder="1" applyAlignment="1">
      <alignment horizontal="center"/>
    </xf>
    <xf numFmtId="181" fontId="0" fillId="3" borderId="66" xfId="0" applyNumberFormat="1" applyFont="1" applyFill="1" applyBorder="1" applyAlignment="1">
      <alignment/>
    </xf>
    <xf numFmtId="172" fontId="0" fillId="3" borderId="85" xfId="0" applyNumberFormat="1" applyFill="1" applyBorder="1" applyAlignment="1">
      <alignment/>
    </xf>
    <xf numFmtId="181" fontId="0" fillId="3" borderId="86" xfId="0" applyNumberFormat="1" applyFill="1" applyBorder="1" applyAlignment="1">
      <alignment/>
    </xf>
    <xf numFmtId="181" fontId="0" fillId="3" borderId="87" xfId="0" applyNumberFormat="1" applyFill="1" applyBorder="1" applyAlignment="1">
      <alignment/>
    </xf>
    <xf numFmtId="172" fontId="0" fillId="3" borderId="67" xfId="0" applyNumberFormat="1" applyFill="1" applyBorder="1" applyAlignment="1">
      <alignment/>
    </xf>
    <xf numFmtId="172" fontId="10" fillId="3" borderId="77" xfId="0" applyNumberFormat="1" applyFont="1" applyFill="1" applyBorder="1" applyAlignment="1">
      <alignment/>
    </xf>
    <xf numFmtId="172" fontId="0" fillId="3" borderId="78" xfId="0" applyNumberFormat="1" applyFill="1" applyBorder="1" applyAlignment="1">
      <alignment/>
    </xf>
    <xf numFmtId="172" fontId="10" fillId="3" borderId="75" xfId="0" applyNumberFormat="1" applyFont="1" applyFill="1" applyBorder="1" applyAlignment="1">
      <alignment/>
    </xf>
    <xf numFmtId="172" fontId="0" fillId="3" borderId="79" xfId="0" applyNumberFormat="1" applyFill="1" applyBorder="1" applyAlignment="1">
      <alignment/>
    </xf>
    <xf numFmtId="172" fontId="10" fillId="3" borderId="76" xfId="0" applyNumberFormat="1" applyFont="1" applyFill="1" applyBorder="1" applyAlignment="1">
      <alignment/>
    </xf>
    <xf numFmtId="172" fontId="9" fillId="3" borderId="67" xfId="0" applyNumberFormat="1" applyFont="1" applyFill="1" applyBorder="1" applyAlignment="1">
      <alignment/>
    </xf>
    <xf numFmtId="170" fontId="0" fillId="3" borderId="78" xfId="0" applyNumberFormat="1" applyFont="1" applyFill="1" applyBorder="1" applyAlignment="1">
      <alignment horizontal="center"/>
    </xf>
    <xf numFmtId="170" fontId="0" fillId="3" borderId="81" xfId="0" applyNumberFormat="1" applyFont="1" applyFill="1" applyBorder="1" applyAlignment="1">
      <alignment horizontal="center"/>
    </xf>
    <xf numFmtId="170" fontId="0" fillId="3" borderId="88" xfId="0" applyNumberFormat="1" applyFont="1" applyFill="1" applyBorder="1" applyAlignment="1">
      <alignment horizontal="center"/>
    </xf>
    <xf numFmtId="170" fontId="0" fillId="3" borderId="79" xfId="0" applyNumberFormat="1" applyFont="1" applyFill="1" applyBorder="1" applyAlignment="1">
      <alignment horizontal="center"/>
    </xf>
    <xf numFmtId="170" fontId="0" fillId="3" borderId="19" xfId="0" applyNumberFormat="1" applyFont="1" applyFill="1" applyBorder="1" applyAlignment="1">
      <alignment horizontal="center"/>
    </xf>
    <xf numFmtId="170" fontId="0" fillId="3" borderId="89" xfId="0" applyNumberFormat="1" applyFont="1" applyFill="1" applyBorder="1" applyAlignment="1">
      <alignment horizontal="center"/>
    </xf>
    <xf numFmtId="170" fontId="0" fillId="3" borderId="75" xfId="0" applyNumberFormat="1" applyFont="1" applyFill="1" applyBorder="1" applyAlignment="1">
      <alignment horizontal="center"/>
    </xf>
    <xf numFmtId="170" fontId="0" fillId="3" borderId="76" xfId="0" applyNumberFormat="1" applyFont="1" applyFill="1" applyBorder="1" applyAlignment="1">
      <alignment horizontal="center"/>
    </xf>
    <xf numFmtId="0" fontId="9" fillId="3" borderId="43" xfId="0" applyFont="1" applyFill="1" applyBorder="1" applyAlignment="1">
      <alignment/>
    </xf>
    <xf numFmtId="0" fontId="9" fillId="3" borderId="14" xfId="0" applyFont="1" applyFill="1" applyBorder="1" applyAlignment="1">
      <alignment/>
    </xf>
    <xf numFmtId="0" fontId="9" fillId="3" borderId="59" xfId="0" applyFont="1" applyFill="1" applyBorder="1" applyAlignment="1">
      <alignment/>
    </xf>
    <xf numFmtId="0" fontId="9" fillId="3" borderId="71" xfId="0" applyFont="1" applyFill="1" applyBorder="1" applyAlignment="1">
      <alignment/>
    </xf>
    <xf numFmtId="174" fontId="9" fillId="3" borderId="71" xfId="0" applyNumberFormat="1" applyFont="1" applyFill="1" applyBorder="1" applyAlignment="1">
      <alignment/>
    </xf>
    <xf numFmtId="0" fontId="0" fillId="4" borderId="24" xfId="0" applyNumberFormat="1" applyFont="1" applyFill="1" applyBorder="1" applyAlignment="1">
      <alignment/>
    </xf>
    <xf numFmtId="49" fontId="0" fillId="4" borderId="24" xfId="0" applyNumberFormat="1" applyFill="1" applyBorder="1" applyAlignment="1">
      <alignment/>
    </xf>
    <xf numFmtId="166" fontId="12" fillId="0" borderId="2" xfId="0" applyNumberFormat="1" applyFont="1" applyBorder="1" applyAlignment="1">
      <alignment/>
    </xf>
    <xf numFmtId="0" fontId="12" fillId="0" borderId="1" xfId="0" applyNumberFormat="1" applyFont="1" applyFill="1" applyBorder="1" applyAlignment="1">
      <alignment horizontal="center"/>
    </xf>
    <xf numFmtId="166" fontId="12" fillId="0" borderId="0" xfId="0" applyNumberFormat="1" applyFont="1" applyBorder="1" applyAlignment="1">
      <alignment horizontal="center"/>
    </xf>
    <xf numFmtId="166" fontId="12" fillId="0" borderId="31" xfId="0" applyNumberFormat="1" applyFont="1" applyBorder="1" applyAlignment="1">
      <alignment horizontal="center"/>
    </xf>
    <xf numFmtId="166" fontId="12" fillId="0" borderId="2" xfId="0" applyNumberFormat="1" applyFont="1" applyBorder="1" applyAlignment="1">
      <alignment horizontal="center"/>
    </xf>
    <xf numFmtId="0" fontId="0" fillId="0" borderId="70" xfId="0" applyFill="1" applyBorder="1" applyAlignment="1">
      <alignment horizontal="center"/>
    </xf>
    <xf numFmtId="170" fontId="0" fillId="0" borderId="67" xfId="0" applyNumberFormat="1" applyFont="1" applyFill="1" applyBorder="1" applyAlignment="1">
      <alignment horizontal="center"/>
    </xf>
    <xf numFmtId="170" fontId="0" fillId="0" borderId="68" xfId="0" applyNumberFormat="1" applyFont="1" applyFill="1" applyBorder="1" applyAlignment="1">
      <alignment horizontal="center"/>
    </xf>
    <xf numFmtId="170" fontId="0" fillId="0" borderId="69" xfId="0" applyNumberFormat="1" applyFont="1" applyFill="1" applyBorder="1" applyAlignment="1">
      <alignment horizontal="center"/>
    </xf>
    <xf numFmtId="0" fontId="0" fillId="0" borderId="68" xfId="0" applyFill="1" applyBorder="1" applyAlignment="1">
      <alignment horizontal="center"/>
    </xf>
    <xf numFmtId="173" fontId="9" fillId="0" borderId="71" xfId="0" applyNumberFormat="1" applyFont="1" applyFill="1" applyBorder="1" applyAlignment="1">
      <alignment/>
    </xf>
    <xf numFmtId="0" fontId="0" fillId="0" borderId="75" xfId="0" applyFill="1" applyBorder="1" applyAlignment="1">
      <alignment horizontal="center"/>
    </xf>
    <xf numFmtId="0" fontId="9" fillId="0" borderId="74" xfId="0" applyFont="1" applyFill="1" applyBorder="1" applyAlignment="1">
      <alignment/>
    </xf>
    <xf numFmtId="0" fontId="0" fillId="0" borderId="67" xfId="0" applyFill="1" applyBorder="1" applyAlignment="1">
      <alignment horizontal="center"/>
    </xf>
    <xf numFmtId="0" fontId="9" fillId="8" borderId="25" xfId="0" applyFont="1" applyFill="1" applyBorder="1" applyAlignment="1">
      <alignment horizontal="center"/>
    </xf>
    <xf numFmtId="0" fontId="9" fillId="8" borderId="32" xfId="0" applyFont="1" applyFill="1" applyBorder="1" applyAlignment="1">
      <alignment horizontal="center"/>
    </xf>
    <xf numFmtId="0" fontId="9" fillId="15" borderId="32" xfId="0" applyFont="1" applyFill="1" applyBorder="1" applyAlignment="1">
      <alignment horizontal="center"/>
    </xf>
    <xf numFmtId="0" fontId="9" fillId="3" borderId="32" xfId="0" applyFont="1" applyFill="1" applyBorder="1" applyAlignment="1">
      <alignment horizontal="center"/>
    </xf>
    <xf numFmtId="0" fontId="9" fillId="34" borderId="32" xfId="0" applyFont="1" applyFill="1" applyBorder="1" applyAlignment="1">
      <alignment horizontal="center"/>
    </xf>
    <xf numFmtId="0" fontId="9" fillId="7" borderId="32" xfId="0" applyFont="1" applyFill="1" applyBorder="1" applyAlignment="1">
      <alignment horizontal="center"/>
    </xf>
    <xf numFmtId="0" fontId="9" fillId="11" borderId="32" xfId="0" applyFont="1" applyFill="1" applyBorder="1" applyAlignment="1">
      <alignment horizontal="center"/>
    </xf>
    <xf numFmtId="0" fontId="9" fillId="35" borderId="32" xfId="0" applyFont="1" applyFill="1" applyBorder="1" applyAlignment="1">
      <alignment horizontal="center"/>
    </xf>
    <xf numFmtId="0" fontId="9" fillId="36" borderId="32" xfId="0" applyFont="1" applyFill="1" applyBorder="1" applyAlignment="1">
      <alignment horizontal="center"/>
    </xf>
    <xf numFmtId="0" fontId="9" fillId="7" borderId="16" xfId="0" applyFont="1" applyFill="1" applyBorder="1" applyAlignment="1">
      <alignment horizontal="center"/>
    </xf>
    <xf numFmtId="0" fontId="9" fillId="43" borderId="65" xfId="0" applyFont="1" applyFill="1" applyBorder="1" applyAlignment="1">
      <alignment horizontal="center"/>
    </xf>
    <xf numFmtId="0" fontId="0" fillId="3" borderId="6" xfId="0" applyFont="1" applyFill="1" applyBorder="1" applyAlignment="1">
      <alignment horizontal="center"/>
    </xf>
    <xf numFmtId="0" fontId="0" fillId="0" borderId="83" xfId="0" applyFill="1" applyBorder="1" applyAlignment="1">
      <alignment horizontal="center"/>
    </xf>
    <xf numFmtId="183" fontId="20" fillId="16" borderId="1" xfId="0" applyNumberFormat="1" applyFont="1" applyFill="1" applyBorder="1" applyAlignment="1">
      <alignment/>
    </xf>
    <xf numFmtId="183" fontId="9" fillId="16" borderId="1" xfId="0" applyNumberFormat="1" applyFont="1" applyFill="1" applyBorder="1" applyAlignment="1">
      <alignment/>
    </xf>
    <xf numFmtId="183" fontId="9" fillId="16" borderId="11" xfId="0" applyNumberFormat="1" applyFont="1" applyFill="1" applyBorder="1" applyAlignment="1">
      <alignment/>
    </xf>
    <xf numFmtId="183" fontId="9" fillId="16" borderId="1" xfId="0" applyNumberFormat="1" applyFont="1" applyFill="1" applyBorder="1" applyAlignment="1">
      <alignment/>
    </xf>
    <xf numFmtId="184" fontId="0" fillId="0" borderId="42" xfId="0" applyNumberFormat="1" applyFont="1" applyBorder="1" applyAlignment="1">
      <alignment/>
    </xf>
    <xf numFmtId="184" fontId="0" fillId="0" borderId="3" xfId="0" applyNumberFormat="1" applyFont="1" applyBorder="1" applyAlignment="1">
      <alignment/>
    </xf>
    <xf numFmtId="184" fontId="0" fillId="0" borderId="3" xfId="0" applyNumberFormat="1" applyFill="1" applyBorder="1" applyAlignment="1">
      <alignment/>
    </xf>
    <xf numFmtId="184" fontId="0" fillId="0" borderId="3" xfId="0" applyNumberFormat="1" applyBorder="1" applyAlignment="1">
      <alignment/>
    </xf>
    <xf numFmtId="184" fontId="0" fillId="3" borderId="85" xfId="0" applyNumberFormat="1" applyFill="1" applyBorder="1" applyAlignment="1">
      <alignment/>
    </xf>
    <xf numFmtId="184" fontId="0" fillId="3" borderId="90" xfId="0" applyNumberFormat="1" applyFill="1" applyBorder="1" applyAlignment="1">
      <alignment/>
    </xf>
    <xf numFmtId="184" fontId="0" fillId="3" borderId="3" xfId="0" applyNumberFormat="1" applyFill="1" applyBorder="1" applyAlignment="1">
      <alignment/>
    </xf>
    <xf numFmtId="184" fontId="0" fillId="3" borderId="91" xfId="0" applyNumberFormat="1" applyFill="1" applyBorder="1" applyAlignment="1">
      <alignment/>
    </xf>
    <xf numFmtId="184" fontId="8" fillId="0" borderId="3" xfId="0" applyNumberFormat="1" applyFont="1" applyFill="1" applyBorder="1" applyAlignment="1">
      <alignment horizontal="right"/>
    </xf>
    <xf numFmtId="184" fontId="0" fillId="0" borderId="45" xfId="0" applyNumberFormat="1" applyBorder="1" applyAlignment="1">
      <alignment/>
    </xf>
    <xf numFmtId="184" fontId="9" fillId="0" borderId="3" xfId="0" applyNumberFormat="1" applyFont="1" applyBorder="1" applyAlignment="1">
      <alignment/>
    </xf>
    <xf numFmtId="184" fontId="0" fillId="0" borderId="1" xfId="0" applyNumberFormat="1" applyBorder="1" applyAlignment="1">
      <alignment/>
    </xf>
    <xf numFmtId="184" fontId="0" fillId="0" borderId="1" xfId="0" applyNumberFormat="1" applyFont="1" applyFill="1" applyBorder="1" applyAlignment="1">
      <alignment/>
    </xf>
    <xf numFmtId="185" fontId="20" fillId="0" borderId="0" xfId="0" applyNumberFormat="1" applyFont="1" applyFill="1" applyBorder="1" applyAlignment="1">
      <alignment horizontal="right"/>
    </xf>
    <xf numFmtId="185" fontId="20" fillId="0" borderId="0" xfId="0" applyNumberFormat="1" applyFont="1" applyAlignment="1">
      <alignment horizontal="right"/>
    </xf>
    <xf numFmtId="185" fontId="9" fillId="0" borderId="0" xfId="0" applyNumberFormat="1" applyFont="1" applyFill="1" applyAlignment="1">
      <alignment horizontal="right"/>
    </xf>
    <xf numFmtId="185" fontId="9" fillId="0" borderId="0" xfId="0" applyNumberFormat="1" applyFont="1" applyFill="1" applyBorder="1" applyAlignment="1">
      <alignment horizontal="right"/>
    </xf>
    <xf numFmtId="185" fontId="9" fillId="0" borderId="0" xfId="0" applyNumberFormat="1" applyFont="1" applyAlignment="1">
      <alignment horizontal="right"/>
    </xf>
    <xf numFmtId="185" fontId="0" fillId="0" borderId="0" xfId="0" applyNumberFormat="1" applyFill="1" applyAlignment="1">
      <alignment horizontal="right"/>
    </xf>
    <xf numFmtId="185" fontId="0" fillId="0" borderId="0" xfId="0" applyNumberFormat="1" applyAlignment="1">
      <alignment horizontal="right"/>
    </xf>
    <xf numFmtId="185" fontId="0" fillId="0" borderId="0" xfId="0" applyNumberFormat="1" applyFill="1" applyBorder="1" applyAlignment="1">
      <alignment horizontal="right"/>
    </xf>
    <xf numFmtId="185" fontId="8" fillId="0" borderId="0" xfId="0" applyNumberFormat="1" applyFont="1" applyFill="1" applyBorder="1" applyAlignment="1">
      <alignment horizontal="right"/>
    </xf>
    <xf numFmtId="185" fontId="0" fillId="0" borderId="9" xfId="0" applyNumberFormat="1" applyBorder="1" applyAlignment="1">
      <alignment horizontal="right"/>
    </xf>
    <xf numFmtId="185" fontId="15" fillId="0" borderId="0" xfId="0" applyNumberFormat="1" applyFont="1" applyAlignment="1">
      <alignment horizontal="right"/>
    </xf>
    <xf numFmtId="185" fontId="15" fillId="0" borderId="0" xfId="0" applyNumberFormat="1" applyFont="1" applyFill="1" applyAlignment="1">
      <alignment horizontal="right"/>
    </xf>
    <xf numFmtId="185" fontId="0" fillId="0" borderId="0" xfId="0" applyNumberFormat="1" applyFill="1" applyBorder="1" applyAlignment="1">
      <alignment/>
    </xf>
    <xf numFmtId="185" fontId="0" fillId="0" borderId="0" xfId="0" applyNumberFormat="1" applyFont="1" applyFill="1" applyBorder="1" applyAlignment="1">
      <alignment/>
    </xf>
    <xf numFmtId="185" fontId="15" fillId="0" borderId="0" xfId="0" applyNumberFormat="1" applyFont="1" applyFill="1" applyBorder="1" applyAlignment="1">
      <alignment horizontal="center"/>
    </xf>
    <xf numFmtId="185" fontId="15" fillId="0" borderId="0" xfId="0" applyNumberFormat="1" applyFont="1" applyFill="1" applyBorder="1" applyAlignment="1">
      <alignment/>
    </xf>
    <xf numFmtId="185" fontId="0" fillId="0" borderId="30" xfId="0" applyNumberFormat="1" applyFill="1" applyBorder="1" applyAlignment="1">
      <alignment horizontal="right"/>
    </xf>
    <xf numFmtId="185" fontId="0" fillId="0" borderId="24" xfId="0" applyNumberFormat="1" applyFill="1" applyBorder="1" applyAlignment="1">
      <alignment horizontal="right"/>
    </xf>
    <xf numFmtId="185" fontId="0" fillId="3" borderId="72" xfId="0" applyNumberFormat="1" applyFill="1" applyBorder="1" applyAlignment="1">
      <alignment horizontal="right"/>
    </xf>
    <xf numFmtId="185" fontId="0" fillId="0" borderId="72" xfId="0" applyNumberFormat="1" applyFill="1" applyBorder="1" applyAlignment="1">
      <alignment horizontal="right"/>
    </xf>
    <xf numFmtId="0" fontId="9" fillId="3" borderId="86" xfId="0" applyNumberFormat="1" applyFont="1" applyFill="1" applyBorder="1" applyAlignment="1">
      <alignment/>
    </xf>
    <xf numFmtId="0" fontId="9" fillId="3" borderId="87" xfId="0" applyNumberFormat="1" applyFont="1" applyFill="1" applyBorder="1" applyAlignment="1">
      <alignment/>
    </xf>
    <xf numFmtId="165" fontId="0" fillId="22" borderId="90" xfId="0" applyNumberFormat="1" applyFont="1" applyFill="1" applyBorder="1" applyAlignment="1">
      <alignment/>
    </xf>
    <xf numFmtId="165" fontId="0" fillId="22" borderId="91" xfId="0" applyNumberFormat="1" applyFont="1" applyFill="1" applyBorder="1" applyAlignment="1">
      <alignment/>
    </xf>
    <xf numFmtId="171" fontId="0" fillId="3" borderId="63" xfId="0" applyNumberFormat="1" applyFont="1" applyFill="1" applyBorder="1" applyAlignment="1">
      <alignment horizontal="right"/>
    </xf>
    <xf numFmtId="171" fontId="0" fillId="3" borderId="64" xfId="0" applyNumberFormat="1" applyFont="1" applyFill="1" applyBorder="1" applyAlignment="1">
      <alignment horizontal="right"/>
    </xf>
    <xf numFmtId="183" fontId="9" fillId="22" borderId="85" xfId="0" applyNumberFormat="1" applyFont="1" applyFill="1" applyBorder="1" applyAlignment="1">
      <alignment/>
    </xf>
    <xf numFmtId="174" fontId="0" fillId="22" borderId="85" xfId="0" applyNumberFormat="1" applyFont="1" applyFill="1" applyBorder="1" applyAlignment="1">
      <alignment/>
    </xf>
    <xf numFmtId="165" fontId="0" fillId="22" borderId="85" xfId="0" applyNumberFormat="1" applyFont="1" applyFill="1" applyBorder="1" applyAlignment="1">
      <alignment/>
    </xf>
    <xf numFmtId="0" fontId="0" fillId="3" borderId="85" xfId="0" applyFill="1" applyBorder="1" applyAlignment="1">
      <alignment horizontal="right"/>
    </xf>
    <xf numFmtId="183" fontId="9" fillId="3" borderId="85" xfId="0" applyNumberFormat="1" applyFont="1" applyFill="1" applyBorder="1" applyAlignment="1">
      <alignment/>
    </xf>
    <xf numFmtId="0" fontId="0" fillId="3" borderId="85" xfId="0" applyNumberFormat="1" applyFill="1" applyBorder="1" applyAlignment="1">
      <alignment horizontal="right"/>
    </xf>
    <xf numFmtId="165" fontId="0" fillId="3" borderId="85" xfId="0" applyNumberFormat="1" applyFill="1" applyBorder="1" applyAlignment="1">
      <alignment/>
    </xf>
    <xf numFmtId="0" fontId="9" fillId="22" borderId="85" xfId="0" applyFont="1" applyFill="1" applyBorder="1" applyAlignment="1">
      <alignment horizontal="right"/>
    </xf>
    <xf numFmtId="0" fontId="9" fillId="3" borderId="85" xfId="0" applyFont="1" applyFill="1" applyBorder="1" applyAlignment="1">
      <alignment/>
    </xf>
    <xf numFmtId="0" fontId="0" fillId="22" borderId="85" xfId="0" applyFont="1" applyFill="1" applyBorder="1" applyAlignment="1">
      <alignment horizontal="right"/>
    </xf>
    <xf numFmtId="0" fontId="0" fillId="22" borderId="85" xfId="0" applyFont="1" applyFill="1" applyBorder="1" applyAlignment="1">
      <alignment/>
    </xf>
    <xf numFmtId="183" fontId="20" fillId="22" borderId="85" xfId="0" applyNumberFormat="1" applyFont="1" applyFill="1" applyBorder="1" applyAlignment="1">
      <alignment/>
    </xf>
    <xf numFmtId="165" fontId="0" fillId="22" borderId="90" xfId="0" applyNumberFormat="1" applyFill="1" applyBorder="1" applyAlignment="1">
      <alignment/>
    </xf>
    <xf numFmtId="0" fontId="0" fillId="22" borderId="90" xfId="0" applyNumberFormat="1" applyFont="1" applyFill="1" applyBorder="1" applyAlignment="1">
      <alignment horizontal="right"/>
    </xf>
    <xf numFmtId="0" fontId="0" fillId="22" borderId="91" xfId="0" applyNumberFormat="1" applyFont="1" applyFill="1" applyBorder="1" applyAlignment="1">
      <alignment horizontal="right"/>
    </xf>
    <xf numFmtId="0" fontId="0" fillId="22" borderId="90" xfId="0" applyFont="1" applyFill="1" applyBorder="1" applyAlignment="1">
      <alignment horizontal="right"/>
    </xf>
    <xf numFmtId="0" fontId="0" fillId="22" borderId="91" xfId="0" applyFont="1" applyFill="1" applyBorder="1" applyAlignment="1">
      <alignment horizontal="right"/>
    </xf>
    <xf numFmtId="0" fontId="0" fillId="22" borderId="90" xfId="0" applyFont="1" applyFill="1" applyBorder="1" applyAlignment="1">
      <alignment/>
    </xf>
    <xf numFmtId="0" fontId="0" fillId="22" borderId="91" xfId="0" applyFont="1" applyFill="1" applyBorder="1" applyAlignment="1">
      <alignment/>
    </xf>
    <xf numFmtId="165" fontId="0" fillId="3" borderId="85" xfId="0" applyNumberFormat="1" applyFont="1" applyFill="1" applyBorder="1" applyAlignment="1">
      <alignment/>
    </xf>
    <xf numFmtId="165" fontId="0" fillId="3" borderId="90" xfId="0" applyNumberFormat="1" applyFont="1" applyFill="1" applyBorder="1" applyAlignment="1">
      <alignment/>
    </xf>
    <xf numFmtId="165" fontId="0" fillId="3" borderId="91" xfId="0" applyNumberFormat="1" applyFont="1" applyFill="1" applyBorder="1" applyAlignment="1">
      <alignment/>
    </xf>
    <xf numFmtId="173" fontId="9" fillId="3" borderId="72" xfId="0" applyNumberFormat="1" applyFont="1" applyFill="1" applyBorder="1" applyAlignment="1">
      <alignment/>
    </xf>
    <xf numFmtId="0" fontId="0" fillId="3" borderId="78" xfId="0" applyFont="1" applyFill="1" applyBorder="1" applyAlignment="1">
      <alignment horizontal="center"/>
    </xf>
    <xf numFmtId="0" fontId="0" fillId="3" borderId="12" xfId="0" applyFont="1" applyFill="1" applyBorder="1" applyAlignment="1">
      <alignment horizontal="center"/>
    </xf>
    <xf numFmtId="185" fontId="9" fillId="0" borderId="0" xfId="0" applyNumberFormat="1" applyFont="1" applyBorder="1" applyAlignment="1">
      <alignment horizontal="right"/>
    </xf>
    <xf numFmtId="0" fontId="0" fillId="0" borderId="0" xfId="0" applyFont="1" applyBorder="1" applyAlignment="1">
      <alignment horizontal="right"/>
    </xf>
    <xf numFmtId="176" fontId="9" fillId="0" borderId="0" xfId="0" applyNumberFormat="1" applyFont="1" applyBorder="1" applyAlignment="1">
      <alignment/>
    </xf>
    <xf numFmtId="0" fontId="9" fillId="0" borderId="0" xfId="0" applyFont="1" applyBorder="1" applyAlignment="1">
      <alignment/>
    </xf>
    <xf numFmtId="0" fontId="0" fillId="4" borderId="92" xfId="16" applyFont="1" applyFill="1" applyBorder="1" applyAlignment="1">
      <alignment/>
    </xf>
    <xf numFmtId="0" fontId="9" fillId="4" borderId="84" xfId="0" applyFont="1" applyFill="1" applyBorder="1" applyAlignment="1">
      <alignment/>
    </xf>
    <xf numFmtId="0" fontId="9" fillId="20" borderId="23" xfId="0" applyFont="1" applyFill="1" applyBorder="1" applyAlignment="1">
      <alignment/>
    </xf>
    <xf numFmtId="0" fontId="9" fillId="20" borderId="62" xfId="0" applyFont="1" applyFill="1" applyBorder="1" applyAlignment="1">
      <alignment/>
    </xf>
    <xf numFmtId="0" fontId="0" fillId="0" borderId="93" xfId="0" applyFill="1" applyBorder="1" applyAlignment="1">
      <alignment horizontal="center"/>
    </xf>
    <xf numFmtId="0" fontId="0" fillId="3" borderId="94" xfId="0" applyFill="1" applyBorder="1" applyAlignment="1">
      <alignment horizontal="center"/>
    </xf>
    <xf numFmtId="0" fontId="0" fillId="0" borderId="95" xfId="0" applyFill="1" applyBorder="1" applyAlignment="1">
      <alignment horizontal="center"/>
    </xf>
    <xf numFmtId="0" fontId="0" fillId="0" borderId="28" xfId="0" applyFill="1" applyBorder="1" applyAlignment="1">
      <alignment horizontal="center"/>
    </xf>
    <xf numFmtId="0" fontId="0" fillId="3" borderId="96" xfId="0" applyFill="1" applyBorder="1" applyAlignment="1">
      <alignment horizontal="center"/>
    </xf>
    <xf numFmtId="184" fontId="0" fillId="0" borderId="42" xfId="0" applyNumberFormat="1" applyFill="1" applyBorder="1" applyAlignment="1">
      <alignment/>
    </xf>
    <xf numFmtId="185" fontId="15" fillId="0" borderId="97" xfId="0" applyNumberFormat="1" applyFont="1" applyFill="1" applyBorder="1" applyAlignment="1">
      <alignment horizontal="right"/>
    </xf>
    <xf numFmtId="0" fontId="0" fillId="0" borderId="97" xfId="0" applyFont="1" applyFill="1" applyBorder="1" applyAlignment="1">
      <alignment horizontal="right"/>
    </xf>
    <xf numFmtId="172" fontId="0" fillId="0" borderId="42" xfId="0" applyNumberFormat="1" applyFill="1" applyBorder="1" applyAlignment="1">
      <alignment/>
    </xf>
    <xf numFmtId="181" fontId="0" fillId="0" borderId="26" xfId="0" applyNumberFormat="1" applyFill="1" applyBorder="1" applyAlignment="1">
      <alignment/>
    </xf>
    <xf numFmtId="0" fontId="0" fillId="16" borderId="42" xfId="0" applyFont="1" applyFill="1" applyBorder="1" applyAlignment="1">
      <alignment horizontal="right"/>
    </xf>
    <xf numFmtId="172" fontId="0" fillId="0" borderId="28" xfId="0" applyNumberFormat="1" applyFill="1" applyBorder="1" applyAlignment="1">
      <alignment/>
    </xf>
    <xf numFmtId="172" fontId="10" fillId="0" borderId="27" xfId="0" applyNumberFormat="1" applyFont="1" applyBorder="1" applyAlignment="1">
      <alignment/>
    </xf>
    <xf numFmtId="175" fontId="9" fillId="0" borderId="30" xfId="0" applyNumberFormat="1" applyFont="1" applyBorder="1" applyAlignment="1">
      <alignment/>
    </xf>
    <xf numFmtId="172" fontId="9" fillId="0" borderId="29" xfId="0" applyNumberFormat="1" applyFont="1" applyBorder="1" applyAlignment="1">
      <alignment/>
    </xf>
    <xf numFmtId="172" fontId="9" fillId="0" borderId="27" xfId="0" applyNumberFormat="1" applyFont="1" applyBorder="1" applyAlignment="1">
      <alignment/>
    </xf>
    <xf numFmtId="0" fontId="9" fillId="0" borderId="26" xfId="0" applyNumberFormat="1" applyFont="1" applyBorder="1" applyAlignment="1">
      <alignment/>
    </xf>
    <xf numFmtId="0" fontId="0" fillId="22" borderId="98" xfId="0" applyFont="1" applyFill="1" applyBorder="1" applyAlignment="1">
      <alignment horizontal="right"/>
    </xf>
    <xf numFmtId="170" fontId="0" fillId="0" borderId="28" xfId="0" applyNumberFormat="1" applyFont="1" applyBorder="1" applyAlignment="1">
      <alignment horizontal="center"/>
    </xf>
    <xf numFmtId="170" fontId="0" fillId="0" borderId="99" xfId="0" applyNumberFormat="1" applyFont="1" applyBorder="1" applyAlignment="1">
      <alignment horizontal="center"/>
    </xf>
    <xf numFmtId="170" fontId="0" fillId="0" borderId="100" xfId="0" applyNumberFormat="1" applyFont="1" applyBorder="1" applyAlignment="1">
      <alignment horizontal="center"/>
    </xf>
    <xf numFmtId="0" fontId="0" fillId="16" borderId="42" xfId="0" applyFont="1" applyFill="1" applyBorder="1" applyAlignment="1">
      <alignment/>
    </xf>
    <xf numFmtId="169" fontId="10" fillId="0" borderId="97" xfId="0" applyNumberFormat="1" applyFont="1" applyBorder="1" applyAlignment="1">
      <alignment/>
    </xf>
    <xf numFmtId="170" fontId="0" fillId="0" borderId="28" xfId="0" applyNumberFormat="1" applyBorder="1" applyAlignment="1">
      <alignment horizontal="center"/>
    </xf>
    <xf numFmtId="170" fontId="0" fillId="0" borderId="99" xfId="0" applyNumberFormat="1" applyBorder="1" applyAlignment="1">
      <alignment horizontal="center"/>
    </xf>
    <xf numFmtId="170" fontId="0" fillId="0" borderId="27" xfId="0" applyNumberFormat="1" applyBorder="1" applyAlignment="1">
      <alignment horizontal="center"/>
    </xf>
    <xf numFmtId="0" fontId="6" fillId="0" borderId="37" xfId="0" applyFont="1" applyBorder="1" applyAlignment="1">
      <alignment/>
    </xf>
    <xf numFmtId="183" fontId="9" fillId="22" borderId="98" xfId="0" applyNumberFormat="1" applyFont="1" applyFill="1" applyBorder="1" applyAlignment="1">
      <alignment/>
    </xf>
    <xf numFmtId="173" fontId="9" fillId="0" borderId="29" xfId="0" applyNumberFormat="1" applyFont="1" applyBorder="1" applyAlignment="1">
      <alignment/>
    </xf>
    <xf numFmtId="169" fontId="10" fillId="0" borderId="26" xfId="0" applyNumberFormat="1" applyFont="1" applyFill="1" applyBorder="1" applyAlignment="1">
      <alignment/>
    </xf>
    <xf numFmtId="174" fontId="0" fillId="16" borderId="37" xfId="0" applyNumberFormat="1" applyFill="1" applyBorder="1" applyAlignment="1">
      <alignment/>
    </xf>
    <xf numFmtId="49" fontId="0" fillId="0" borderId="29" xfId="0" applyNumberFormat="1" applyBorder="1" applyAlignment="1">
      <alignment horizontal="center"/>
    </xf>
    <xf numFmtId="176" fontId="9" fillId="0" borderId="97" xfId="0" applyNumberFormat="1" applyFont="1" applyBorder="1" applyAlignment="1">
      <alignment/>
    </xf>
    <xf numFmtId="0" fontId="0" fillId="0" borderId="28" xfId="0" applyNumberFormat="1" applyFont="1" applyFill="1" applyBorder="1" applyAlignment="1">
      <alignment horizontal="center"/>
    </xf>
    <xf numFmtId="0" fontId="0" fillId="0" borderId="99" xfId="0" applyNumberFormat="1" applyFont="1" applyFill="1" applyBorder="1" applyAlignment="1">
      <alignment horizontal="center"/>
    </xf>
    <xf numFmtId="0" fontId="0" fillId="0" borderId="95" xfId="0" applyNumberFormat="1" applyFont="1" applyFill="1" applyBorder="1" applyAlignment="1">
      <alignment horizontal="center"/>
    </xf>
    <xf numFmtId="0" fontId="9" fillId="0" borderId="97" xfId="0" applyFont="1" applyBorder="1" applyAlignment="1">
      <alignment/>
    </xf>
    <xf numFmtId="165" fontId="0" fillId="16" borderId="42" xfId="0" applyNumberFormat="1" applyFill="1" applyBorder="1" applyAlignment="1">
      <alignment/>
    </xf>
    <xf numFmtId="0" fontId="0" fillId="0" borderId="27" xfId="0" applyNumberFormat="1" applyFont="1" applyFill="1" applyBorder="1" applyAlignment="1">
      <alignment horizontal="center"/>
    </xf>
    <xf numFmtId="171" fontId="0" fillId="0" borderId="29" xfId="0" applyNumberFormat="1" applyFont="1" applyFill="1" applyBorder="1" applyAlignment="1">
      <alignment horizontal="right"/>
    </xf>
    <xf numFmtId="0" fontId="9" fillId="0" borderId="97" xfId="0" applyFont="1" applyFill="1" applyBorder="1" applyAlignment="1">
      <alignment horizontal="right"/>
    </xf>
    <xf numFmtId="182" fontId="0" fillId="0" borderId="62" xfId="0" applyNumberFormat="1" applyFont="1" applyFill="1" applyBorder="1" applyAlignment="1">
      <alignment horizontal="right"/>
    </xf>
    <xf numFmtId="170" fontId="0" fillId="0" borderId="97" xfId="0" applyNumberFormat="1" applyFont="1" applyFill="1" applyBorder="1" applyAlignment="1">
      <alignment horizontal="right"/>
    </xf>
    <xf numFmtId="179" fontId="0" fillId="0" borderId="97" xfId="0" applyNumberFormat="1" applyFont="1" applyFill="1" applyBorder="1" applyAlignment="1">
      <alignment horizontal="right"/>
    </xf>
    <xf numFmtId="171" fontId="0" fillId="0" borderId="97" xfId="0" applyNumberFormat="1" applyFont="1" applyFill="1" applyBorder="1" applyAlignment="1">
      <alignment horizontal="right"/>
    </xf>
    <xf numFmtId="0" fontId="0" fillId="0" borderId="97" xfId="0" applyNumberFormat="1" applyFont="1" applyFill="1" applyBorder="1" applyAlignment="1">
      <alignment horizontal="right"/>
    </xf>
    <xf numFmtId="0" fontId="0" fillId="0" borderId="97" xfId="0" applyFont="1" applyBorder="1" applyAlignment="1">
      <alignment horizontal="center"/>
    </xf>
    <xf numFmtId="0" fontId="5" fillId="6" borderId="25" xfId="0" applyNumberFormat="1" applyFont="1" applyFill="1" applyBorder="1" applyAlignment="1">
      <alignment horizontal="center"/>
    </xf>
    <xf numFmtId="0" fontId="0" fillId="0" borderId="97" xfId="0" applyFont="1" applyBorder="1" applyAlignment="1">
      <alignment/>
    </xf>
    <xf numFmtId="0" fontId="6" fillId="0" borderId="97" xfId="0" applyFont="1" applyFill="1" applyBorder="1" applyAlignment="1">
      <alignment/>
    </xf>
    <xf numFmtId="0" fontId="0" fillId="0" borderId="97" xfId="0" applyBorder="1" applyAlignment="1">
      <alignment/>
    </xf>
    <xf numFmtId="0" fontId="0" fillId="0" borderId="37" xfId="0" applyFont="1" applyBorder="1" applyAlignment="1">
      <alignment/>
    </xf>
    <xf numFmtId="0" fontId="7" fillId="0" borderId="37" xfId="0" applyNumberFormat="1" applyFont="1" applyFill="1" applyBorder="1" applyAlignment="1">
      <alignment horizontal="center"/>
    </xf>
    <xf numFmtId="0" fontId="7" fillId="0" borderId="97" xfId="0" applyNumberFormat="1" applyFont="1" applyFill="1" applyBorder="1" applyAlignment="1">
      <alignment horizontal="center"/>
    </xf>
    <xf numFmtId="0" fontId="9" fillId="50" borderId="15" xfId="0" applyFont="1" applyFill="1" applyBorder="1" applyAlignment="1">
      <alignment/>
    </xf>
    <xf numFmtId="0" fontId="9" fillId="50" borderId="2" xfId="0" applyFont="1" applyFill="1" applyBorder="1" applyAlignment="1">
      <alignment/>
    </xf>
    <xf numFmtId="184" fontId="8" fillId="0" borderId="3" xfId="0" applyNumberFormat="1" applyFont="1" applyBorder="1" applyAlignment="1">
      <alignment horizontal="right"/>
    </xf>
    <xf numFmtId="185" fontId="8" fillId="0" borderId="0" xfId="0" applyNumberFormat="1" applyFont="1" applyBorder="1" applyAlignment="1">
      <alignment horizontal="right"/>
    </xf>
    <xf numFmtId="0" fontId="8" fillId="0" borderId="0" xfId="0" applyFont="1" applyBorder="1" applyAlignment="1">
      <alignment horizontal="right"/>
    </xf>
    <xf numFmtId="1" fontId="10" fillId="2" borderId="0" xfId="0" applyNumberFormat="1" applyFont="1" applyFill="1" applyBorder="1" applyAlignment="1">
      <alignment/>
    </xf>
    <xf numFmtId="1" fontId="12" fillId="2" borderId="0" xfId="0" applyNumberFormat="1" applyFont="1" applyFill="1" applyBorder="1" applyAlignment="1">
      <alignment/>
    </xf>
    <xf numFmtId="0" fontId="0" fillId="4" borderId="97" xfId="16" applyFont="1" applyFill="1" applyBorder="1" applyAlignment="1">
      <alignment/>
    </xf>
    <xf numFmtId="0" fontId="9" fillId="29" borderId="23" xfId="0" applyFont="1" applyFill="1" applyBorder="1" applyAlignment="1">
      <alignment/>
    </xf>
    <xf numFmtId="0" fontId="9" fillId="38" borderId="62" xfId="0" applyFont="1" applyFill="1" applyBorder="1" applyAlignment="1">
      <alignment/>
    </xf>
    <xf numFmtId="0" fontId="0" fillId="0" borderId="99" xfId="0" applyFill="1"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184" fontId="8" fillId="0" borderId="42" xfId="0" applyNumberFormat="1" applyFont="1" applyFill="1" applyBorder="1" applyAlignment="1">
      <alignment horizontal="right"/>
    </xf>
    <xf numFmtId="185" fontId="8" fillId="0" borderId="97" xfId="0" applyNumberFormat="1" applyFont="1" applyFill="1" applyBorder="1" applyAlignment="1">
      <alignment horizontal="right"/>
    </xf>
    <xf numFmtId="0" fontId="8" fillId="0" borderId="97" xfId="0" applyFont="1" applyFill="1" applyBorder="1" applyAlignment="1">
      <alignment horizontal="right"/>
    </xf>
    <xf numFmtId="0" fontId="9" fillId="16" borderId="42" xfId="0" applyFont="1" applyFill="1" applyBorder="1" applyAlignment="1">
      <alignment horizontal="right"/>
    </xf>
    <xf numFmtId="172" fontId="9" fillId="3" borderId="28" xfId="0" applyNumberFormat="1" applyFont="1" applyFill="1" applyBorder="1" applyAlignment="1">
      <alignment/>
    </xf>
    <xf numFmtId="172" fontId="21" fillId="3" borderId="27" xfId="0" applyNumberFormat="1" applyFont="1" applyFill="1" applyBorder="1" applyAlignment="1">
      <alignment/>
    </xf>
    <xf numFmtId="175" fontId="20" fillId="0" borderId="30" xfId="0" applyNumberFormat="1" applyFont="1" applyFill="1" applyBorder="1" applyAlignment="1">
      <alignment/>
    </xf>
    <xf numFmtId="172" fontId="20" fillId="0" borderId="29" xfId="0" applyNumberFormat="1" applyFont="1" applyFill="1" applyBorder="1" applyAlignment="1">
      <alignment/>
    </xf>
    <xf numFmtId="172" fontId="20" fillId="0" borderId="27" xfId="0" applyNumberFormat="1" applyFont="1" applyFill="1" applyBorder="1" applyAlignment="1">
      <alignment/>
    </xf>
    <xf numFmtId="0" fontId="9" fillId="0" borderId="26" xfId="0" applyNumberFormat="1" applyFont="1" applyFill="1" applyBorder="1" applyAlignment="1">
      <alignment/>
    </xf>
    <xf numFmtId="170" fontId="0" fillId="0" borderId="28" xfId="0" applyNumberFormat="1" applyFont="1" applyFill="1" applyBorder="1" applyAlignment="1">
      <alignment horizontal="center"/>
    </xf>
    <xf numFmtId="170" fontId="0" fillId="0" borderId="99" xfId="0" applyNumberFormat="1" applyFont="1" applyFill="1" applyBorder="1" applyAlignment="1">
      <alignment horizontal="center"/>
    </xf>
    <xf numFmtId="170" fontId="0" fillId="0" borderId="100" xfId="0" applyNumberFormat="1" applyFont="1" applyFill="1" applyBorder="1" applyAlignment="1">
      <alignment horizontal="center"/>
    </xf>
    <xf numFmtId="173" fontId="9" fillId="0" borderId="28" xfId="0" applyNumberFormat="1" applyFont="1" applyFill="1" applyBorder="1" applyAlignment="1">
      <alignment/>
    </xf>
    <xf numFmtId="170" fontId="0" fillId="0" borderId="27" xfId="0" applyNumberFormat="1" applyFont="1" applyFill="1" applyBorder="1" applyAlignment="1">
      <alignment horizontal="center"/>
    </xf>
    <xf numFmtId="0" fontId="10" fillId="0" borderId="37" xfId="0" applyFont="1" applyFill="1" applyBorder="1" applyAlignment="1">
      <alignment/>
    </xf>
    <xf numFmtId="183" fontId="9" fillId="16" borderId="37" xfId="0" applyNumberFormat="1" applyFont="1" applyFill="1" applyBorder="1" applyAlignment="1">
      <alignment/>
    </xf>
    <xf numFmtId="173" fontId="9" fillId="0" borderId="29" xfId="0" applyNumberFormat="1" applyFont="1" applyFill="1" applyBorder="1" applyAlignment="1">
      <alignment/>
    </xf>
    <xf numFmtId="174" fontId="8" fillId="16" borderId="37" xfId="0" applyNumberFormat="1" applyFont="1" applyFill="1" applyBorder="1" applyAlignment="1">
      <alignment/>
    </xf>
    <xf numFmtId="49" fontId="8" fillId="0" borderId="29" xfId="0" applyNumberFormat="1" applyFont="1" applyFill="1" applyBorder="1" applyAlignment="1">
      <alignment horizontal="center"/>
    </xf>
    <xf numFmtId="176" fontId="12" fillId="0" borderId="97" xfId="0" applyNumberFormat="1" applyFont="1" applyFill="1" applyBorder="1" applyAlignment="1">
      <alignment/>
    </xf>
    <xf numFmtId="0" fontId="9" fillId="0" borderId="97" xfId="0" applyFont="1" applyFill="1" applyBorder="1" applyAlignment="1">
      <alignment/>
    </xf>
    <xf numFmtId="165" fontId="0" fillId="3" borderId="42" xfId="0" applyNumberFormat="1" applyFont="1" applyFill="1" applyBorder="1" applyAlignment="1">
      <alignment/>
    </xf>
    <xf numFmtId="0" fontId="0" fillId="0" borderId="37" xfId="0" applyBorder="1" applyAlignment="1">
      <alignment/>
    </xf>
    <xf numFmtId="1" fontId="17" fillId="29" borderId="97" xfId="0" applyNumberFormat="1" applyFont="1" applyFill="1" applyBorder="1" applyAlignment="1" quotePrefix="1">
      <alignment/>
    </xf>
    <xf numFmtId="1" fontId="12" fillId="2" borderId="97" xfId="0" applyNumberFormat="1" applyFont="1" applyFill="1" applyBorder="1" applyAlignment="1">
      <alignment/>
    </xf>
    <xf numFmtId="0" fontId="27" fillId="2" borderId="97" xfId="0" applyFont="1" applyFill="1" applyBorder="1" applyAlignment="1" quotePrefix="1">
      <alignment horizontal="center"/>
    </xf>
    <xf numFmtId="0" fontId="9" fillId="3" borderId="25" xfId="0" applyFont="1" applyFill="1" applyBorder="1" applyAlignment="1">
      <alignment horizontal="center"/>
    </xf>
    <xf numFmtId="0" fontId="12" fillId="0" borderId="37" xfId="0" applyNumberFormat="1" applyFont="1" applyFill="1" applyBorder="1" applyAlignment="1">
      <alignment/>
    </xf>
    <xf numFmtId="166" fontId="9" fillId="0" borderId="97" xfId="0" applyNumberFormat="1" applyFont="1" applyBorder="1" applyAlignment="1">
      <alignment/>
    </xf>
    <xf numFmtId="166" fontId="9" fillId="0" borderId="101" xfId="0" applyNumberFormat="1" applyFont="1" applyBorder="1" applyAlignment="1">
      <alignment/>
    </xf>
    <xf numFmtId="166" fontId="9" fillId="0" borderId="62" xfId="0" applyNumberFormat="1" applyFont="1" applyBorder="1" applyAlignment="1">
      <alignment/>
    </xf>
    <xf numFmtId="0" fontId="0" fillId="0" borderId="97" xfId="0" applyNumberFormat="1" applyFont="1" applyFill="1" applyBorder="1" applyAlignment="1">
      <alignment/>
    </xf>
    <xf numFmtId="165" fontId="0" fillId="0" borderId="97" xfId="0" applyNumberFormat="1" applyFont="1" applyBorder="1" applyAlignment="1">
      <alignment/>
    </xf>
    <xf numFmtId="3" fontId="0" fillId="0" borderId="97" xfId="0" applyNumberFormat="1" applyFont="1" applyFill="1" applyBorder="1" applyAlignment="1">
      <alignment/>
    </xf>
    <xf numFmtId="2" fontId="0" fillId="0" borderId="97" xfId="0" applyNumberFormat="1" applyFont="1" applyBorder="1" applyAlignment="1">
      <alignment/>
    </xf>
    <xf numFmtId="1" fontId="24" fillId="2" borderId="0" xfId="0" applyNumberFormat="1" applyFont="1" applyFill="1" applyBorder="1" applyAlignment="1">
      <alignment/>
    </xf>
    <xf numFmtId="3" fontId="0" fillId="0" borderId="1" xfId="0" applyNumberFormat="1" applyFont="1" applyBorder="1" applyAlignment="1">
      <alignment/>
    </xf>
    <xf numFmtId="0" fontId="8" fillId="0" borderId="0" xfId="0" applyFont="1" applyBorder="1" applyAlignment="1">
      <alignment/>
    </xf>
    <xf numFmtId="3" fontId="0" fillId="0" borderId="97" xfId="0" applyNumberFormat="1" applyFont="1" applyBorder="1" applyAlignment="1">
      <alignment/>
    </xf>
    <xf numFmtId="0" fontId="11" fillId="2" borderId="2" xfId="0" applyFont="1" applyFill="1" applyBorder="1" applyAlignment="1">
      <alignment horizontal="left"/>
    </xf>
    <xf numFmtId="0" fontId="11" fillId="2" borderId="2" xfId="0" applyFont="1" applyFill="1" applyBorder="1" applyAlignment="1">
      <alignment/>
    </xf>
    <xf numFmtId="49" fontId="11" fillId="2" borderId="0" xfId="0" applyNumberFormat="1" applyFont="1" applyFill="1" applyBorder="1" applyAlignment="1">
      <alignment horizontal="center" textRotation="90"/>
    </xf>
    <xf numFmtId="49" fontId="11" fillId="2" borderId="1" xfId="0" applyNumberFormat="1" applyFont="1" applyFill="1" applyBorder="1" applyAlignment="1">
      <alignment horizontal="center" textRotation="90"/>
    </xf>
    <xf numFmtId="49" fontId="11" fillId="2" borderId="2" xfId="0" applyNumberFormat="1" applyFont="1" applyFill="1" applyBorder="1" applyAlignment="1">
      <alignment horizontal="center" textRotation="90"/>
    </xf>
    <xf numFmtId="0" fontId="0" fillId="0" borderId="1" xfId="0" applyFont="1" applyFill="1" applyBorder="1" applyAlignment="1">
      <alignment/>
    </xf>
    <xf numFmtId="0" fontId="0" fillId="0" borderId="1" xfId="0" applyFill="1" applyBorder="1" applyAlignment="1">
      <alignment/>
    </xf>
    <xf numFmtId="0" fontId="0" fillId="0" borderId="1" xfId="0" applyBorder="1" applyAlignment="1" quotePrefix="1">
      <alignment/>
    </xf>
    <xf numFmtId="0" fontId="0" fillId="0" borderId="37" xfId="0" applyFill="1"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6">
    <dxf>
      <font>
        <color rgb="FFC0C0C0"/>
      </font>
      <border/>
    </dxf>
    <dxf>
      <font>
        <color rgb="FFFFFFFF"/>
      </font>
      <border/>
    </dxf>
    <dxf>
      <fill>
        <patternFill>
          <bgColor rgb="FFFFCC99"/>
        </patternFill>
      </fill>
      <border/>
    </dxf>
    <dxf>
      <fill>
        <patternFill>
          <bgColor rgb="FF99CCFF"/>
        </patternFill>
      </fill>
      <border/>
    </dxf>
    <dxf>
      <font>
        <color rgb="FF993300"/>
      </font>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JdR%20-%20Jeux\EvE\Drone_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Drones"/>
      <sheetName val="Combat"/>
      <sheetName val="EW Drones"/>
      <sheetName val="Speed &amp; Optim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DC233"/>
  <sheetViews>
    <sheetView tabSelected="1" workbookViewId="0" topLeftCell="A1">
      <pane xSplit="5" ySplit="3" topLeftCell="F4" activePane="bottomRight" state="frozen"/>
      <selection pane="topLeft" activeCell="A1" sqref="A1"/>
      <selection pane="topRight" activeCell="F1" sqref="F1"/>
      <selection pane="bottomLeft" activeCell="A4" sqref="A4"/>
      <selection pane="bottomRight" activeCell="L25" sqref="L25"/>
    </sheetView>
  </sheetViews>
  <sheetFormatPr defaultColWidth="11.421875" defaultRowHeight="12.75"/>
  <cols>
    <col min="1" max="1" width="10.7109375" style="0" customWidth="1"/>
    <col min="2" max="2" width="10.8515625" style="0" customWidth="1"/>
    <col min="3" max="3" width="6.8515625" style="0" customWidth="1"/>
    <col min="4" max="4" width="0.13671875" style="432" customWidth="1"/>
    <col min="5" max="5" width="11.140625" style="0" customWidth="1"/>
    <col min="6" max="11" width="2.7109375" style="0" customWidth="1"/>
    <col min="12" max="12" width="5.7109375" style="0" customWidth="1"/>
    <col min="13" max="13" width="9.7109375" style="0" customWidth="1"/>
    <col min="14" max="14" width="5.00390625" style="0" customWidth="1"/>
    <col min="15" max="15" width="8.00390625" style="0" customWidth="1"/>
    <col min="16" max="16" width="9.7109375" style="0" customWidth="1"/>
    <col min="17" max="17" width="6.00390625" style="0" customWidth="1"/>
    <col min="18" max="18" width="8.8515625" style="0" customWidth="1"/>
    <col min="19" max="19" width="8.00390625" style="0" customWidth="1"/>
    <col min="20" max="20" width="7.421875" style="0" customWidth="1"/>
    <col min="21" max="21" width="10.28125" style="0" customWidth="1"/>
    <col min="22" max="22" width="9.57421875" style="0" customWidth="1"/>
    <col min="23" max="23" width="5.7109375" style="3" customWidth="1"/>
    <col min="24" max="24" width="6.00390625" style="425" customWidth="1"/>
    <col min="25" max="28" width="4.7109375" style="0" customWidth="1"/>
    <col min="29" max="29" width="6.00390625" style="3" customWidth="1"/>
    <col min="30" max="30" width="6.8515625" style="0" customWidth="1"/>
    <col min="31" max="31" width="6.57421875" style="0" customWidth="1"/>
    <col min="32" max="35" width="4.7109375" style="0" customWidth="1"/>
    <col min="36" max="36" width="6.140625" style="0" customWidth="1"/>
    <col min="37" max="37" width="5.00390625" style="0" customWidth="1"/>
    <col min="38" max="38" width="7.8515625" style="3" customWidth="1"/>
    <col min="39" max="39" width="6.140625" style="0" customWidth="1"/>
    <col min="40" max="40" width="6.57421875" style="0" customWidth="1"/>
    <col min="41" max="41" width="7.140625" style="3" customWidth="1"/>
    <col min="42" max="42" width="4.28125" style="0" customWidth="1"/>
    <col min="43" max="43" width="6.8515625" style="0" customWidth="1"/>
    <col min="44" max="47" width="2.7109375" style="0" customWidth="1"/>
    <col min="48" max="48" width="5.7109375" style="0" customWidth="1"/>
    <col min="49" max="49" width="9.28125" style="0" customWidth="1"/>
    <col min="50" max="50" width="5.57421875" style="0" customWidth="1"/>
    <col min="51" max="51" width="7.57421875" style="0" customWidth="1"/>
    <col min="52" max="52" width="3.00390625" style="0" customWidth="1"/>
    <col min="53" max="53" width="5.8515625" style="0" customWidth="1"/>
    <col min="54" max="54" width="9.57421875" style="21" customWidth="1"/>
    <col min="55" max="55" width="10.8515625" style="0" customWidth="1"/>
    <col min="56" max="56" width="8.7109375" style="0" customWidth="1"/>
    <col min="57" max="58" width="5.57421875" style="0" customWidth="1"/>
    <col min="59" max="59" width="7.8515625" style="0" customWidth="1"/>
    <col min="60" max="60" width="5.57421875" style="543" customWidth="1"/>
    <col min="61" max="61" width="5.28125" style="0" customWidth="1"/>
    <col min="62" max="62" width="5.00390625" style="0" customWidth="1"/>
    <col min="63" max="63" width="14.28125" style="0" customWidth="1"/>
    <col min="64" max="67" width="5.421875" style="0" customWidth="1"/>
    <col min="70" max="70" width="7.140625" style="0" customWidth="1"/>
    <col min="71" max="71" width="7.57421875" style="0" customWidth="1"/>
    <col min="72" max="72" width="4.7109375" style="0" customWidth="1"/>
    <col min="73" max="73" width="4.7109375" style="3" customWidth="1"/>
    <col min="74" max="74" width="5.8515625" style="3" customWidth="1"/>
    <col min="75" max="75" width="5.421875" style="0" hidden="1" customWidth="1"/>
    <col min="76" max="82" width="5.140625" style="0" hidden="1" customWidth="1"/>
    <col min="83" max="83" width="3.57421875" style="476" customWidth="1"/>
    <col min="84" max="84" width="5.28125" style="478" customWidth="1"/>
    <col min="85" max="85" width="12.00390625" style="436" hidden="1" customWidth="1"/>
    <col min="86" max="87" width="14.00390625" style="0" customWidth="1"/>
    <col min="88" max="88" width="14.00390625" style="39" customWidth="1"/>
    <col min="89" max="89" width="14.57421875" style="39" customWidth="1"/>
    <col min="90" max="90" width="12.7109375" style="21" bestFit="1" customWidth="1"/>
    <col min="91" max="92" width="7.00390625" style="21" bestFit="1" customWidth="1"/>
    <col min="94" max="95" width="5.7109375" style="0" bestFit="1" customWidth="1"/>
    <col min="96" max="96" width="2.28125" style="0" bestFit="1" customWidth="1"/>
    <col min="98" max="98" width="12.7109375" style="0" bestFit="1" customWidth="1"/>
    <col min="99" max="99" width="5.7109375" style="0" bestFit="1" customWidth="1"/>
    <col min="100" max="100" width="7.57421875" style="0" bestFit="1" customWidth="1"/>
    <col min="101" max="101" width="3.57421875" style="0" bestFit="1" customWidth="1"/>
    <col min="102" max="102" width="6.00390625" style="0" bestFit="1" customWidth="1"/>
    <col min="103" max="104" width="5.7109375" style="0" bestFit="1" customWidth="1"/>
    <col min="105" max="105" width="7.00390625" style="0" bestFit="1" customWidth="1"/>
    <col min="106" max="106" width="6.00390625" style="0" bestFit="1" customWidth="1"/>
    <col min="107" max="107" width="8.57421875" style="0" bestFit="1" customWidth="1"/>
  </cols>
  <sheetData>
    <row r="1" spans="1:107" ht="12.75" customHeight="1">
      <c r="A1" s="20" t="s">
        <v>623</v>
      </c>
      <c r="B1" s="20" t="s">
        <v>620</v>
      </c>
      <c r="C1" s="20" t="s">
        <v>622</v>
      </c>
      <c r="D1" s="198"/>
      <c r="E1" s="20" t="s">
        <v>969</v>
      </c>
      <c r="F1" s="37" t="s">
        <v>1264</v>
      </c>
      <c r="G1" s="20"/>
      <c r="H1" s="20"/>
      <c r="I1" s="37" t="s">
        <v>749</v>
      </c>
      <c r="J1" s="20"/>
      <c r="K1" s="20"/>
      <c r="L1" s="199"/>
      <c r="M1" s="199"/>
      <c r="N1" s="199"/>
      <c r="O1" s="20" t="s">
        <v>304</v>
      </c>
      <c r="P1" s="20"/>
      <c r="Q1" s="37" t="s">
        <v>1048</v>
      </c>
      <c r="R1" s="20"/>
      <c r="S1" s="20"/>
      <c r="T1" s="20"/>
      <c r="U1" s="20"/>
      <c r="V1" s="20"/>
      <c r="W1" s="20"/>
      <c r="X1" s="200" t="s">
        <v>1307</v>
      </c>
      <c r="Y1" s="201"/>
      <c r="Z1" s="201"/>
      <c r="AA1" s="201"/>
      <c r="AB1" s="201"/>
      <c r="AC1" s="37" t="s">
        <v>1308</v>
      </c>
      <c r="AD1" s="20"/>
      <c r="AE1" s="20"/>
      <c r="AF1" s="20"/>
      <c r="AG1" s="20"/>
      <c r="AH1" s="20"/>
      <c r="AI1" s="20"/>
      <c r="AJ1" s="202" t="s">
        <v>539</v>
      </c>
      <c r="AK1" s="199"/>
      <c r="AL1" s="37" t="s">
        <v>488</v>
      </c>
      <c r="AM1" s="20"/>
      <c r="AN1" s="203"/>
      <c r="AO1" s="204" t="s">
        <v>777</v>
      </c>
      <c r="AP1" s="205"/>
      <c r="AQ1" s="205"/>
      <c r="AR1" s="205"/>
      <c r="AS1" s="205"/>
      <c r="AT1" s="205"/>
      <c r="AU1" s="205"/>
      <c r="AV1" s="205"/>
      <c r="AW1" s="37" t="s">
        <v>437</v>
      </c>
      <c r="AX1" s="20"/>
      <c r="AY1" s="20"/>
      <c r="AZ1" s="20"/>
      <c r="BA1" s="20"/>
      <c r="BB1" s="551"/>
      <c r="BC1" s="20"/>
      <c r="BD1" s="20"/>
      <c r="BE1" s="37" t="s">
        <v>970</v>
      </c>
      <c r="BF1" s="20"/>
      <c r="BG1" s="20"/>
      <c r="BH1" s="201"/>
      <c r="BI1" s="20" t="s">
        <v>971</v>
      </c>
      <c r="BJ1" s="206" t="s">
        <v>972</v>
      </c>
      <c r="BK1" s="20" t="s">
        <v>973</v>
      </c>
      <c r="BL1" s="202" t="s">
        <v>33</v>
      </c>
      <c r="BM1" s="202"/>
      <c r="BN1" s="202" t="s">
        <v>72</v>
      </c>
      <c r="BO1" s="202"/>
      <c r="BP1" s="199"/>
      <c r="BQ1" s="199"/>
      <c r="BR1" s="199" t="s">
        <v>1481</v>
      </c>
      <c r="BS1" s="20" t="s">
        <v>546</v>
      </c>
      <c r="BT1" s="199" t="s">
        <v>1482</v>
      </c>
      <c r="BU1" s="199"/>
      <c r="BV1" s="199"/>
      <c r="BW1" s="210"/>
      <c r="BX1" s="210"/>
      <c r="BY1" s="210"/>
      <c r="BZ1" s="210"/>
      <c r="CA1" s="210"/>
      <c r="CB1" s="210"/>
      <c r="CC1" s="210"/>
      <c r="CD1" s="210"/>
      <c r="CE1" s="485" t="s">
        <v>723</v>
      </c>
      <c r="CF1" s="198"/>
      <c r="CG1" s="198" t="s">
        <v>287</v>
      </c>
      <c r="CH1" s="211" t="s">
        <v>1483</v>
      </c>
      <c r="CI1" s="211" t="s">
        <v>1483</v>
      </c>
      <c r="CJ1" s="198" t="s">
        <v>1484</v>
      </c>
      <c r="CK1" s="198" t="s">
        <v>1485</v>
      </c>
      <c r="CL1" s="199"/>
      <c r="CM1" s="199"/>
      <c r="CN1" s="199"/>
      <c r="CO1" s="199"/>
      <c r="CP1" s="650"/>
      <c r="CQ1" s="650"/>
      <c r="CR1" s="650"/>
      <c r="CS1" s="651" t="s">
        <v>81</v>
      </c>
      <c r="CT1" s="651" t="s">
        <v>83</v>
      </c>
      <c r="CU1" s="651" t="s">
        <v>80</v>
      </c>
      <c r="CV1" s="651" t="s">
        <v>90</v>
      </c>
      <c r="CW1" s="651" t="s">
        <v>86</v>
      </c>
      <c r="CX1" s="651" t="s">
        <v>84</v>
      </c>
      <c r="CY1" s="651" t="s">
        <v>88</v>
      </c>
      <c r="CZ1" s="651" t="s">
        <v>88</v>
      </c>
      <c r="DA1" s="651" t="s">
        <v>86</v>
      </c>
      <c r="DB1" s="651" t="s">
        <v>88</v>
      </c>
      <c r="DC1" s="651" t="s">
        <v>885</v>
      </c>
    </row>
    <row r="2" spans="1:107" ht="12.75" customHeight="1">
      <c r="A2" s="212"/>
      <c r="B2" s="212"/>
      <c r="C2" s="212"/>
      <c r="D2" s="213"/>
      <c r="E2" s="212"/>
      <c r="F2" s="212" t="s">
        <v>751</v>
      </c>
      <c r="G2" s="212" t="s">
        <v>752</v>
      </c>
      <c r="H2" s="212" t="s">
        <v>750</v>
      </c>
      <c r="I2" s="214" t="s">
        <v>1487</v>
      </c>
      <c r="J2" s="214" t="s">
        <v>1488</v>
      </c>
      <c r="K2" s="214" t="s">
        <v>277</v>
      </c>
      <c r="L2" s="212" t="s">
        <v>828</v>
      </c>
      <c r="M2" s="212" t="s">
        <v>829</v>
      </c>
      <c r="N2" s="212" t="s">
        <v>1246</v>
      </c>
      <c r="O2" s="212" t="s">
        <v>505</v>
      </c>
      <c r="P2" s="212" t="s">
        <v>1525</v>
      </c>
      <c r="Q2" s="212" t="s">
        <v>754</v>
      </c>
      <c r="R2" s="212" t="s">
        <v>169</v>
      </c>
      <c r="S2" s="212" t="s">
        <v>384</v>
      </c>
      <c r="T2" s="212" t="s">
        <v>618</v>
      </c>
      <c r="U2" s="212" t="s">
        <v>61</v>
      </c>
      <c r="V2" s="212" t="s">
        <v>385</v>
      </c>
      <c r="W2" s="212" t="s">
        <v>386</v>
      </c>
      <c r="X2" s="215" t="s">
        <v>755</v>
      </c>
      <c r="Y2" s="216" t="s">
        <v>1304</v>
      </c>
      <c r="Z2" s="217" t="s">
        <v>1305</v>
      </c>
      <c r="AA2" s="218" t="s">
        <v>1306</v>
      </c>
      <c r="AB2" s="219" t="s">
        <v>655</v>
      </c>
      <c r="AC2" s="220" t="s">
        <v>387</v>
      </c>
      <c r="AD2" s="221" t="s">
        <v>388</v>
      </c>
      <c r="AE2" s="222"/>
      <c r="AF2" s="216" t="s">
        <v>1304</v>
      </c>
      <c r="AG2" s="217" t="s">
        <v>1305</v>
      </c>
      <c r="AH2" s="218" t="s">
        <v>1306</v>
      </c>
      <c r="AI2" s="219" t="s">
        <v>655</v>
      </c>
      <c r="AJ2" s="223" t="s">
        <v>538</v>
      </c>
      <c r="AK2" s="224" t="s">
        <v>155</v>
      </c>
      <c r="AL2" s="225" t="s">
        <v>1786</v>
      </c>
      <c r="AM2" s="214" t="s">
        <v>389</v>
      </c>
      <c r="AN2" s="226"/>
      <c r="AO2" s="227" t="s">
        <v>93</v>
      </c>
      <c r="AP2" s="228" t="s">
        <v>95</v>
      </c>
      <c r="AQ2" s="229" t="s">
        <v>390</v>
      </c>
      <c r="AR2" s="230" t="s">
        <v>1703</v>
      </c>
      <c r="AS2" s="644" t="s">
        <v>1704</v>
      </c>
      <c r="AT2" s="231" t="s">
        <v>98</v>
      </c>
      <c r="AU2" s="232" t="s">
        <v>97</v>
      </c>
      <c r="AV2" s="233" t="s">
        <v>461</v>
      </c>
      <c r="AW2" s="234" t="s">
        <v>617</v>
      </c>
      <c r="AX2" s="235" t="s">
        <v>1198</v>
      </c>
      <c r="AY2" s="646" t="s">
        <v>1300</v>
      </c>
      <c r="AZ2" s="236" t="s">
        <v>1085</v>
      </c>
      <c r="BA2" s="237" t="s">
        <v>1070</v>
      </c>
      <c r="BB2" s="238" t="s">
        <v>391</v>
      </c>
      <c r="BC2" s="238" t="s">
        <v>1036</v>
      </c>
      <c r="BD2" s="238" t="s">
        <v>1035</v>
      </c>
      <c r="BE2" s="239" t="s">
        <v>392</v>
      </c>
      <c r="BF2" s="239" t="s">
        <v>93</v>
      </c>
      <c r="BG2" s="239" t="s">
        <v>393</v>
      </c>
      <c r="BH2" s="540" t="s">
        <v>4</v>
      </c>
      <c r="BI2" s="203"/>
      <c r="BJ2" s="240" t="s">
        <v>394</v>
      </c>
      <c r="BK2" s="199"/>
      <c r="BL2" s="241"/>
      <c r="BM2" s="242"/>
      <c r="BN2" s="241"/>
      <c r="BO2" s="242"/>
      <c r="BP2" s="20" t="s">
        <v>1599</v>
      </c>
      <c r="BQ2" s="199"/>
      <c r="BR2" s="199"/>
      <c r="BS2" s="20" t="s">
        <v>395</v>
      </c>
      <c r="BT2" s="199" t="s">
        <v>396</v>
      </c>
      <c r="BU2" s="199" t="s">
        <v>917</v>
      </c>
      <c r="BV2" s="199" t="s">
        <v>918</v>
      </c>
      <c r="BW2" s="243" t="s">
        <v>397</v>
      </c>
      <c r="BX2" s="243" t="s">
        <v>398</v>
      </c>
      <c r="BY2" s="243" t="s">
        <v>399</v>
      </c>
      <c r="BZ2" s="243" t="s">
        <v>400</v>
      </c>
      <c r="CA2" s="243" t="s">
        <v>401</v>
      </c>
      <c r="CB2" s="243" t="s">
        <v>402</v>
      </c>
      <c r="CC2" s="243" t="s">
        <v>403</v>
      </c>
      <c r="CD2" s="243" t="s">
        <v>1118</v>
      </c>
      <c r="CE2" s="485" t="s">
        <v>1486</v>
      </c>
      <c r="CF2" s="198"/>
      <c r="CG2" s="198" t="s">
        <v>73</v>
      </c>
      <c r="CH2" s="244" t="s">
        <v>196</v>
      </c>
      <c r="CI2" s="211" t="s">
        <v>197</v>
      </c>
      <c r="CJ2" s="198" t="s">
        <v>985</v>
      </c>
      <c r="CK2" s="198" t="s">
        <v>986</v>
      </c>
      <c r="CL2" s="199" t="s">
        <v>1301</v>
      </c>
      <c r="CM2" s="199"/>
      <c r="CN2" s="199"/>
      <c r="CO2" s="199"/>
      <c r="CP2" s="650" t="s">
        <v>755</v>
      </c>
      <c r="CQ2" s="650" t="s">
        <v>387</v>
      </c>
      <c r="CR2" s="650"/>
      <c r="CS2" s="651" t="s">
        <v>82</v>
      </c>
      <c r="CT2" s="651"/>
      <c r="CU2" s="651" t="s">
        <v>89</v>
      </c>
      <c r="CV2" s="651"/>
      <c r="CW2" s="651" t="s">
        <v>85</v>
      </c>
      <c r="CX2" s="651" t="s">
        <v>87</v>
      </c>
      <c r="CY2" s="651" t="s">
        <v>85</v>
      </c>
      <c r="CZ2" s="651" t="s">
        <v>87</v>
      </c>
      <c r="DA2" s="651" t="s">
        <v>1099</v>
      </c>
      <c r="DB2" s="651" t="s">
        <v>1099</v>
      </c>
      <c r="DC2" s="651"/>
    </row>
    <row r="3" spans="1:107" ht="2.25" customHeight="1">
      <c r="A3" s="245"/>
      <c r="B3" s="245"/>
      <c r="C3" s="245"/>
      <c r="D3" s="246"/>
      <c r="E3" s="245"/>
      <c r="F3" s="245"/>
      <c r="G3" s="245"/>
      <c r="H3" s="245"/>
      <c r="I3" s="245"/>
      <c r="J3" s="212"/>
      <c r="K3" s="245"/>
      <c r="L3" s="245"/>
      <c r="M3" s="245"/>
      <c r="N3" s="245"/>
      <c r="O3" s="245"/>
      <c r="P3" s="245"/>
      <c r="Q3" s="245"/>
      <c r="R3" s="245"/>
      <c r="S3" s="245"/>
      <c r="T3" s="245"/>
      <c r="U3" s="245"/>
      <c r="V3" s="245"/>
      <c r="W3" s="212"/>
      <c r="X3" s="215"/>
      <c r="Y3" s="247"/>
      <c r="Z3" s="248"/>
      <c r="AA3" s="249"/>
      <c r="AB3" s="250"/>
      <c r="AC3" s="220"/>
      <c r="AD3" s="105"/>
      <c r="AE3" s="251"/>
      <c r="AF3" s="247"/>
      <c r="AG3" s="248"/>
      <c r="AH3" s="249"/>
      <c r="AI3" s="250"/>
      <c r="AJ3" s="252"/>
      <c r="AK3" s="253"/>
      <c r="AL3" s="225"/>
      <c r="AM3" s="253"/>
      <c r="AN3" s="254"/>
      <c r="AO3" s="255"/>
      <c r="AP3" s="256"/>
      <c r="AQ3" s="257"/>
      <c r="AR3" s="258"/>
      <c r="AS3" s="645"/>
      <c r="AT3" s="259"/>
      <c r="AU3" s="260"/>
      <c r="AV3" s="261"/>
      <c r="AW3" s="262"/>
      <c r="AX3" s="263"/>
      <c r="AY3" s="647"/>
      <c r="AZ3" s="264"/>
      <c r="BA3" s="265"/>
      <c r="BB3" s="266"/>
      <c r="BC3" s="266"/>
      <c r="BD3" s="266"/>
      <c r="BE3" s="239"/>
      <c r="BF3" s="239"/>
      <c r="BG3" s="239"/>
      <c r="BH3" s="540"/>
      <c r="BI3" s="267"/>
      <c r="BJ3" s="268"/>
      <c r="BK3" s="26"/>
      <c r="BL3" s="269"/>
      <c r="BM3" s="270"/>
      <c r="BN3" s="241"/>
      <c r="BO3" s="242"/>
      <c r="BP3" s="26"/>
      <c r="BQ3" s="26"/>
      <c r="BR3" s="26"/>
      <c r="BS3" s="26"/>
      <c r="BT3" s="26"/>
      <c r="BU3" s="26"/>
      <c r="BV3" s="26"/>
      <c r="BW3" s="274"/>
      <c r="BX3" s="274"/>
      <c r="BY3" s="274"/>
      <c r="BZ3" s="274"/>
      <c r="CA3" s="274"/>
      <c r="CB3" s="274"/>
      <c r="CC3" s="274"/>
      <c r="CD3" s="274"/>
      <c r="CE3" s="485" t="s">
        <v>987</v>
      </c>
      <c r="CF3" s="477"/>
      <c r="CG3" s="437"/>
      <c r="CH3" s="240"/>
      <c r="CI3" s="240"/>
      <c r="CJ3" s="210"/>
      <c r="CK3" s="210"/>
      <c r="CL3" s="26"/>
      <c r="CM3" s="26"/>
      <c r="CN3" s="26"/>
      <c r="CO3" s="26"/>
      <c r="CP3" s="26"/>
      <c r="CQ3" s="26"/>
      <c r="CR3" s="26"/>
      <c r="CS3" s="26"/>
      <c r="CT3" s="26"/>
      <c r="CU3" s="26"/>
      <c r="CV3" s="26"/>
      <c r="CW3" s="26"/>
      <c r="CX3" s="26"/>
      <c r="CY3" s="26"/>
      <c r="CZ3" s="26"/>
      <c r="DA3" s="26"/>
      <c r="DB3" s="26"/>
      <c r="DC3" s="26"/>
    </row>
    <row r="4" spans="1:107" ht="12.75">
      <c r="A4" s="24" t="s">
        <v>989</v>
      </c>
      <c r="B4" s="69" t="s">
        <v>989</v>
      </c>
      <c r="C4" s="799" t="s">
        <v>827</v>
      </c>
      <c r="D4" s="275">
        <v>95</v>
      </c>
      <c r="E4" s="276" t="s">
        <v>1711</v>
      </c>
      <c r="F4" s="277">
        <v>8</v>
      </c>
      <c r="G4" s="278">
        <v>5</v>
      </c>
      <c r="H4" s="859">
        <v>8</v>
      </c>
      <c r="I4" s="280">
        <v>0</v>
      </c>
      <c r="J4" s="804">
        <v>6</v>
      </c>
      <c r="K4" s="281">
        <v>3</v>
      </c>
      <c r="L4" s="865">
        <v>815</v>
      </c>
      <c r="M4" s="878">
        <v>1250000</v>
      </c>
      <c r="N4" s="282">
        <v>400</v>
      </c>
      <c r="O4" s="452">
        <v>325</v>
      </c>
      <c r="P4" s="534">
        <v>125</v>
      </c>
      <c r="Q4" s="283">
        <v>375000</v>
      </c>
      <c r="R4" s="284">
        <v>45000</v>
      </c>
      <c r="S4" s="285">
        <f aca="true" t="shared" si="0" ref="S4:S63">MAX($BW4:$CD4)</f>
        <v>246481.20424374376</v>
      </c>
      <c r="T4" s="286">
        <v>1687500</v>
      </c>
      <c r="U4" s="287">
        <v>155000000</v>
      </c>
      <c r="V4" s="288">
        <v>10000000</v>
      </c>
      <c r="W4" s="289">
        <v>0.05</v>
      </c>
      <c r="X4" s="283">
        <v>350000</v>
      </c>
      <c r="Y4" s="43">
        <v>50</v>
      </c>
      <c r="Z4" s="44">
        <v>20</v>
      </c>
      <c r="AA4" s="44">
        <v>25</v>
      </c>
      <c r="AB4" s="49">
        <v>35</v>
      </c>
      <c r="AC4" s="290">
        <v>250000</v>
      </c>
      <c r="AD4" s="291">
        <v>36923.08</v>
      </c>
      <c r="AE4" s="292">
        <f aca="true" t="shared" si="1" ref="AE4:AE39">AC4/AD4</f>
        <v>6.770832769097269</v>
      </c>
      <c r="AF4" s="40">
        <v>0</v>
      </c>
      <c r="AG4" s="41">
        <v>50</v>
      </c>
      <c r="AH4" s="41">
        <v>40</v>
      </c>
      <c r="AI4" s="42">
        <v>20</v>
      </c>
      <c r="AJ4" s="293">
        <f aca="true" t="shared" si="2" ref="AJ4:AJ35">Q4+X4+AC4</f>
        <v>975000</v>
      </c>
      <c r="AK4" s="294" t="str">
        <f aca="true" t="shared" si="3" ref="AK4:AK11">IF($X4=$AC4,"=",IF(MAX($AC4,$X4)*0.1&gt;ABS($X4-$AC4),"~",IF(MAX($AC4,$X4)=$X4,"A","S")))</f>
        <v>A</v>
      </c>
      <c r="AL4" s="915">
        <v>112500</v>
      </c>
      <c r="AM4" s="458">
        <v>6750</v>
      </c>
      <c r="AN4" s="295">
        <f aca="true" t="shared" si="4" ref="AN4:AN71">AL4/AM4</f>
        <v>16.666666666666668</v>
      </c>
      <c r="AO4" s="145">
        <v>205</v>
      </c>
      <c r="AP4" s="296" t="s">
        <v>990</v>
      </c>
      <c r="AQ4" s="297">
        <v>45</v>
      </c>
      <c r="AR4" s="298">
        <v>200</v>
      </c>
      <c r="AS4" s="34">
        <v>0</v>
      </c>
      <c r="AT4" s="34">
        <v>0</v>
      </c>
      <c r="AU4" s="73">
        <v>0</v>
      </c>
      <c r="AV4" s="443">
        <v>15</v>
      </c>
      <c r="AW4" s="143">
        <v>60</v>
      </c>
      <c r="AX4" s="33">
        <v>0</v>
      </c>
      <c r="AY4" s="34">
        <v>0</v>
      </c>
      <c r="AZ4" s="34">
        <v>0</v>
      </c>
      <c r="BA4" s="84">
        <v>0</v>
      </c>
      <c r="BB4" s="586">
        <v>1.5</v>
      </c>
      <c r="BC4" s="590">
        <v>1.38E-08</v>
      </c>
      <c r="BD4" s="589">
        <f>(AL4*1.25*(1-0.1*5))/(T4*1000*BC4)</f>
        <v>3019.3236714975847</v>
      </c>
      <c r="BE4" s="299">
        <v>95</v>
      </c>
      <c r="BF4" s="300">
        <v>3.5</v>
      </c>
      <c r="BG4" s="112" t="s">
        <v>991</v>
      </c>
      <c r="BH4" s="541">
        <v>1000</v>
      </c>
      <c r="BI4" s="301"/>
      <c r="BJ4" s="696" t="s">
        <v>1476</v>
      </c>
      <c r="BK4" s="13" t="s">
        <v>1347</v>
      </c>
      <c r="BL4" s="302" t="s">
        <v>355</v>
      </c>
      <c r="BM4" s="86" t="s">
        <v>1265</v>
      </c>
      <c r="BN4" s="303" t="s">
        <v>104</v>
      </c>
      <c r="BO4" s="86" t="s">
        <v>693</v>
      </c>
      <c r="BP4" s="988" t="s">
        <v>989</v>
      </c>
      <c r="BQ4" s="21"/>
      <c r="BR4" s="682" t="s">
        <v>13</v>
      </c>
      <c r="BS4" s="21">
        <v>11567</v>
      </c>
      <c r="BT4" s="603"/>
      <c r="BU4" s="601">
        <v>7.5</v>
      </c>
      <c r="BV4" s="601">
        <v>5</v>
      </c>
      <c r="BW4" s="304">
        <f aca="true" t="shared" si="5" ref="BW4:BW39">$R4</f>
        <v>45000</v>
      </c>
      <c r="BX4" s="304">
        <f>IF($F4&gt;0,$BW4*$D$208,"")</f>
        <v>57374.99999999999</v>
      </c>
      <c r="BY4" s="304">
        <f>IF($F4&gt;1,$BX4*$D$209,"")</f>
        <v>73153.12499999999</v>
      </c>
      <c r="BZ4" s="304">
        <f>IF($F4&gt;2,$BY4*$D$210,"")</f>
        <v>93270.23437499997</v>
      </c>
      <c r="CA4" s="304">
        <f>IF($F4&gt;3,$BZ4*$D$211,"")</f>
        <v>118919.54882812496</v>
      </c>
      <c r="CB4" s="304">
        <f>IF($F4&gt;4,$CA4*$D$212,"")</f>
        <v>151622.4247558593</v>
      </c>
      <c r="CC4" s="304">
        <f>IF($F4&gt;5,$CB4*$D$213,"")</f>
        <v>193318.5915637206</v>
      </c>
      <c r="CD4" s="304">
        <f>IF($F4&gt;6,$CC4*$D$214,"")</f>
        <v>246481.20424374376</v>
      </c>
      <c r="CE4" s="485" t="s">
        <v>988</v>
      </c>
      <c r="CF4" s="848" t="s">
        <v>515</v>
      </c>
      <c r="CG4" s="438" t="s">
        <v>288</v>
      </c>
      <c r="CH4" s="305">
        <v>50383182600</v>
      </c>
      <c r="CI4" s="305">
        <f aca="true" t="shared" si="6" ref="CI4:CI71">CH4*0.3</f>
        <v>15114954780</v>
      </c>
      <c r="CJ4" s="306">
        <f aca="true" t="shared" si="7" ref="CJ4:CJ71">CH4-CI4</f>
        <v>35268227820</v>
      </c>
      <c r="CK4" s="307" t="e">
        <f>CJ4-#REF!</f>
        <v>#REF!</v>
      </c>
      <c r="CL4" s="592">
        <v>4294967295</v>
      </c>
      <c r="CM4" s="21">
        <f>CL4/CH4</f>
        <v>0.08524604983965424</v>
      </c>
      <c r="CN4" s="21">
        <f>CL4/CI4</f>
        <v>0.2841534994655141</v>
      </c>
      <c r="CO4" s="12"/>
      <c r="CP4" s="619">
        <f>SUM(Y4:AB4)</f>
        <v>130</v>
      </c>
      <c r="CQ4" s="620">
        <f>SUM(AF4:AI4)</f>
        <v>110</v>
      </c>
      <c r="CR4" s="621" t="str">
        <f>AK4</f>
        <v>A</v>
      </c>
      <c r="CS4" s="634">
        <f>AW4</f>
        <v>60</v>
      </c>
      <c r="CT4" s="591">
        <f aca="true" t="shared" si="8" ref="CT4:CT69">T4*1000</f>
        <v>1687500000</v>
      </c>
      <c r="CU4" s="591">
        <f aca="true" t="shared" si="9" ref="CU4:CU68">CS4*1.25</f>
        <v>75</v>
      </c>
      <c r="CV4" s="592">
        <v>150000</v>
      </c>
      <c r="CW4" s="12"/>
      <c r="CX4" s="12"/>
      <c r="CY4" s="12"/>
      <c r="CZ4" s="12"/>
      <c r="DA4" s="54">
        <v>1.6875</v>
      </c>
      <c r="DB4" s="54">
        <v>6.25</v>
      </c>
      <c r="DC4" s="649">
        <f>T4*W4/1000</f>
        <v>84.375</v>
      </c>
    </row>
    <row r="5" spans="1:107" ht="12.75">
      <c r="A5" s="24" t="s">
        <v>695</v>
      </c>
      <c r="B5" s="69" t="s">
        <v>695</v>
      </c>
      <c r="C5" s="636" t="s">
        <v>865</v>
      </c>
      <c r="D5" s="275">
        <v>95</v>
      </c>
      <c r="E5" s="276" t="s">
        <v>1711</v>
      </c>
      <c r="F5" s="277">
        <v>5</v>
      </c>
      <c r="G5" s="278">
        <v>8</v>
      </c>
      <c r="H5" s="859">
        <v>8</v>
      </c>
      <c r="I5" s="806">
        <v>7</v>
      </c>
      <c r="J5" s="309">
        <v>0</v>
      </c>
      <c r="K5" s="188">
        <v>3</v>
      </c>
      <c r="L5" s="875">
        <v>1250</v>
      </c>
      <c r="M5" s="879">
        <v>755000</v>
      </c>
      <c r="N5" s="132">
        <v>400</v>
      </c>
      <c r="O5" s="453">
        <v>250</v>
      </c>
      <c r="P5" s="535">
        <v>125</v>
      </c>
      <c r="Q5" s="283">
        <v>350000</v>
      </c>
      <c r="R5" s="284">
        <v>55000</v>
      </c>
      <c r="S5" s="285">
        <f t="shared" si="0"/>
        <v>185316.29692382808</v>
      </c>
      <c r="T5" s="286">
        <v>1800000</v>
      </c>
      <c r="U5" s="287">
        <v>132500000</v>
      </c>
      <c r="V5" s="311">
        <v>10000000</v>
      </c>
      <c r="W5" s="289">
        <v>0.043</v>
      </c>
      <c r="X5" s="283">
        <v>275000</v>
      </c>
      <c r="Y5" s="43">
        <v>50</v>
      </c>
      <c r="Z5" s="44">
        <v>10</v>
      </c>
      <c r="AA5" s="44">
        <v>25</v>
      </c>
      <c r="AB5" s="49">
        <v>45</v>
      </c>
      <c r="AC5" s="912">
        <v>325000</v>
      </c>
      <c r="AD5" s="312">
        <v>48000</v>
      </c>
      <c r="AE5" s="292">
        <f t="shared" si="1"/>
        <v>6.770833333333333</v>
      </c>
      <c r="AF5" s="40">
        <v>0</v>
      </c>
      <c r="AG5" s="41">
        <v>50</v>
      </c>
      <c r="AH5" s="41">
        <v>40</v>
      </c>
      <c r="AI5" s="42">
        <v>20</v>
      </c>
      <c r="AJ5" s="293">
        <f t="shared" si="2"/>
        <v>950000</v>
      </c>
      <c r="AK5" s="103" t="str">
        <f t="shared" si="3"/>
        <v>S</v>
      </c>
      <c r="AL5" s="861">
        <v>103500</v>
      </c>
      <c r="AM5" s="458">
        <v>6210</v>
      </c>
      <c r="AN5" s="295">
        <f t="shared" si="4"/>
        <v>16.666666666666668</v>
      </c>
      <c r="AO5" s="145">
        <v>225</v>
      </c>
      <c r="AP5" s="313" t="s">
        <v>990</v>
      </c>
      <c r="AQ5" s="297">
        <v>35</v>
      </c>
      <c r="AR5" s="33">
        <v>0</v>
      </c>
      <c r="AS5" s="314">
        <v>200</v>
      </c>
      <c r="AT5" s="34">
        <v>0</v>
      </c>
      <c r="AU5" s="73">
        <v>0</v>
      </c>
      <c r="AV5" s="443">
        <v>16</v>
      </c>
      <c r="AW5" s="143">
        <v>60</v>
      </c>
      <c r="AX5" s="33">
        <v>0</v>
      </c>
      <c r="AY5" s="34">
        <v>0</v>
      </c>
      <c r="AZ5" s="34">
        <v>0</v>
      </c>
      <c r="BA5" s="84">
        <v>0</v>
      </c>
      <c r="BB5" s="586">
        <v>1.5</v>
      </c>
      <c r="BC5" s="590">
        <v>1.38E-08</v>
      </c>
      <c r="BD5" s="589">
        <f aca="true" t="shared" si="10" ref="BD5:BD68">(AL5*1.25*(1-0.1*5))/(T5*1000*BC5)</f>
        <v>2604.1666666666665</v>
      </c>
      <c r="BE5" s="299">
        <v>95</v>
      </c>
      <c r="BF5" s="300">
        <v>3.5</v>
      </c>
      <c r="BG5" s="112" t="s">
        <v>696</v>
      </c>
      <c r="BH5" s="541">
        <v>1000</v>
      </c>
      <c r="BI5" s="301"/>
      <c r="BJ5" s="696" t="s">
        <v>1476</v>
      </c>
      <c r="BK5" s="13" t="s">
        <v>1755</v>
      </c>
      <c r="BL5" s="303" t="s">
        <v>1360</v>
      </c>
      <c r="BM5" s="86" t="s">
        <v>1443</v>
      </c>
      <c r="BN5" s="303" t="s">
        <v>104</v>
      </c>
      <c r="BO5" s="86" t="s">
        <v>441</v>
      </c>
      <c r="BP5" s="680" t="s">
        <v>219</v>
      </c>
      <c r="BQ5" s="21"/>
      <c r="BR5" s="609" t="s">
        <v>14</v>
      </c>
      <c r="BS5" s="21">
        <v>3763</v>
      </c>
      <c r="BT5" s="604"/>
      <c r="BU5" s="601">
        <v>10.5</v>
      </c>
      <c r="BV5" s="601">
        <v>5</v>
      </c>
      <c r="BW5" s="304">
        <f t="shared" si="5"/>
        <v>55000</v>
      </c>
      <c r="BX5" s="304">
        <f>IF($F5&gt;0,$BW5*$D$208,"")</f>
        <v>70125</v>
      </c>
      <c r="BY5" s="304">
        <f>IF($F5&gt;1,$BX5*$D$209,"")</f>
        <v>89409.375</v>
      </c>
      <c r="BZ5" s="304">
        <f>IF($F5&gt;2,$BY5*$D$210,"")</f>
        <v>113996.95312499999</v>
      </c>
      <c r="CA5" s="304">
        <f>IF($F5&gt;3,$BZ5*$D$211,"")</f>
        <v>145346.11523437497</v>
      </c>
      <c r="CB5" s="304">
        <f>IF($F5&gt;4,$CA5*$D$212,"")</f>
        <v>185316.29692382808</v>
      </c>
      <c r="CC5" s="304">
        <f>IF($F5&gt;5,$CB5*$D$213,"")</f>
      </c>
      <c r="CD5" s="304">
        <f>IF($F5&gt;6,$CC5*$D$214,"")</f>
      </c>
      <c r="CE5" s="485" t="s">
        <v>694</v>
      </c>
      <c r="CF5" s="849" t="s">
        <v>515</v>
      </c>
      <c r="CG5" s="439" t="s">
        <v>289</v>
      </c>
      <c r="CH5" s="305">
        <v>49100550200</v>
      </c>
      <c r="CI5" s="305">
        <f t="shared" si="6"/>
        <v>14730165060</v>
      </c>
      <c r="CJ5" s="306">
        <f t="shared" si="7"/>
        <v>34370385140</v>
      </c>
      <c r="CK5" s="307" t="e">
        <f>CJ5-#REF!</f>
        <v>#REF!</v>
      </c>
      <c r="CL5" s="592">
        <v>4294967295</v>
      </c>
      <c r="CM5" s="21">
        <f aca="true" t="shared" si="11" ref="CM5:CM68">CL5/CH5</f>
        <v>0.08747289546665814</v>
      </c>
      <c r="CN5" s="21">
        <f aca="true" t="shared" si="12" ref="CN5:CN68">CL5/CI5</f>
        <v>0.29157631822219376</v>
      </c>
      <c r="CO5" s="12"/>
      <c r="CP5" s="622">
        <f aca="true" t="shared" si="13" ref="CP5:CP68">SUM(Y5:AB5)</f>
        <v>130</v>
      </c>
      <c r="CQ5" s="623">
        <f aca="true" t="shared" si="14" ref="CQ5:CQ68">SUM(AF5:AI5)</f>
        <v>110</v>
      </c>
      <c r="CR5" s="624" t="str">
        <f aca="true" t="shared" si="15" ref="CR5:CR68">AK5</f>
        <v>S</v>
      </c>
      <c r="CS5" s="634">
        <f aca="true" t="shared" si="16" ref="CS5:CS68">AW5</f>
        <v>60</v>
      </c>
      <c r="CT5" s="591">
        <f t="shared" si="8"/>
        <v>1800000000</v>
      </c>
      <c r="CU5" s="591">
        <f t="shared" si="9"/>
        <v>75</v>
      </c>
      <c r="CV5" s="592">
        <v>150000</v>
      </c>
      <c r="CW5" s="12"/>
      <c r="CX5" s="12"/>
      <c r="CY5" s="12"/>
      <c r="CZ5" s="12"/>
      <c r="DA5" s="54">
        <v>1.6875</v>
      </c>
      <c r="DB5" s="54">
        <v>6.25</v>
      </c>
      <c r="DC5" s="649">
        <f aca="true" t="shared" si="17" ref="DC5:DC68">T5*W5/1000</f>
        <v>77.4</v>
      </c>
    </row>
    <row r="6" spans="1:107" ht="12.75">
      <c r="A6" s="24" t="s">
        <v>1026</v>
      </c>
      <c r="B6" s="69" t="s">
        <v>1026</v>
      </c>
      <c r="C6" s="315" t="s">
        <v>1042</v>
      </c>
      <c r="D6" s="275">
        <v>95</v>
      </c>
      <c r="E6" s="276" t="s">
        <v>1711</v>
      </c>
      <c r="F6" s="277">
        <v>7</v>
      </c>
      <c r="G6" s="278">
        <v>6</v>
      </c>
      <c r="H6" s="859">
        <v>8</v>
      </c>
      <c r="I6" s="280">
        <v>0</v>
      </c>
      <c r="J6" s="805">
        <v>6</v>
      </c>
      <c r="K6" s="188">
        <v>3</v>
      </c>
      <c r="L6" s="866">
        <v>950</v>
      </c>
      <c r="M6" s="878">
        <v>1050000</v>
      </c>
      <c r="N6" s="282">
        <v>400</v>
      </c>
      <c r="O6" s="453">
        <v>475</v>
      </c>
      <c r="P6" s="535">
        <v>125</v>
      </c>
      <c r="Q6" s="283">
        <v>400000</v>
      </c>
      <c r="R6" s="284">
        <v>65000</v>
      </c>
      <c r="S6" s="285">
        <f t="shared" si="0"/>
        <v>356028.4061298521</v>
      </c>
      <c r="T6" s="316">
        <v>1762500</v>
      </c>
      <c r="U6" s="287">
        <v>145500000</v>
      </c>
      <c r="V6" s="311">
        <v>10000000</v>
      </c>
      <c r="W6" s="289">
        <v>0.05</v>
      </c>
      <c r="X6" s="911">
        <v>325000</v>
      </c>
      <c r="Y6" s="43">
        <v>50</v>
      </c>
      <c r="Z6" s="44">
        <v>10</v>
      </c>
      <c r="AA6" s="44">
        <v>35</v>
      </c>
      <c r="AB6" s="49">
        <v>35</v>
      </c>
      <c r="AC6" s="290">
        <v>275000</v>
      </c>
      <c r="AD6" s="312">
        <v>40615.38</v>
      </c>
      <c r="AE6" s="292">
        <f t="shared" si="1"/>
        <v>6.7708341027463</v>
      </c>
      <c r="AF6" s="40">
        <v>0</v>
      </c>
      <c r="AG6" s="41">
        <v>50</v>
      </c>
      <c r="AH6" s="41">
        <v>40</v>
      </c>
      <c r="AI6" s="42">
        <v>20</v>
      </c>
      <c r="AJ6" s="317">
        <f t="shared" si="2"/>
        <v>1000000</v>
      </c>
      <c r="AK6" s="103" t="str">
        <f t="shared" si="3"/>
        <v>A</v>
      </c>
      <c r="AL6" s="861">
        <v>108000</v>
      </c>
      <c r="AM6" s="458">
        <v>6480</v>
      </c>
      <c r="AN6" s="295">
        <f t="shared" si="4"/>
        <v>16.666666666666668</v>
      </c>
      <c r="AO6" s="145">
        <v>212</v>
      </c>
      <c r="AP6" s="313" t="s">
        <v>990</v>
      </c>
      <c r="AQ6" s="297">
        <v>40</v>
      </c>
      <c r="AR6" s="33">
        <v>0</v>
      </c>
      <c r="AS6" s="34">
        <v>0</v>
      </c>
      <c r="AT6" s="314">
        <v>200</v>
      </c>
      <c r="AU6" s="73">
        <v>0</v>
      </c>
      <c r="AV6" s="443">
        <v>16</v>
      </c>
      <c r="AW6" s="143">
        <v>70</v>
      </c>
      <c r="AX6" s="33">
        <v>0</v>
      </c>
      <c r="AY6" s="34">
        <v>0</v>
      </c>
      <c r="AZ6" s="34">
        <v>0</v>
      </c>
      <c r="BA6" s="84">
        <v>0</v>
      </c>
      <c r="BB6" s="586">
        <v>1.5</v>
      </c>
      <c r="BC6" s="590">
        <v>1.38E-08</v>
      </c>
      <c r="BD6" s="589">
        <f t="shared" si="10"/>
        <v>2775.208140610546</v>
      </c>
      <c r="BE6" s="299">
        <v>95</v>
      </c>
      <c r="BF6" s="300">
        <v>3.5</v>
      </c>
      <c r="BG6" s="112" t="s">
        <v>1027</v>
      </c>
      <c r="BH6" s="541">
        <v>1000</v>
      </c>
      <c r="BI6" s="301"/>
      <c r="BJ6" s="696" t="s">
        <v>1476</v>
      </c>
      <c r="BK6" s="13" t="s">
        <v>1347</v>
      </c>
      <c r="BL6" s="303" t="s">
        <v>108</v>
      </c>
      <c r="BM6" s="318" t="s">
        <v>664</v>
      </c>
      <c r="BN6" s="303" t="s">
        <v>104</v>
      </c>
      <c r="BO6" s="86"/>
      <c r="BP6" s="680" t="s">
        <v>1578</v>
      </c>
      <c r="BQ6" s="21"/>
      <c r="BR6" s="609" t="s">
        <v>15</v>
      </c>
      <c r="BS6" s="21">
        <v>671</v>
      </c>
      <c r="BT6" s="604"/>
      <c r="BU6" s="601">
        <v>9</v>
      </c>
      <c r="BV6" s="601">
        <v>5</v>
      </c>
      <c r="BW6" s="304">
        <f t="shared" si="5"/>
        <v>65000</v>
      </c>
      <c r="BX6" s="304">
        <f>IF($F6&gt;0,$BW6*$D$208,"")</f>
        <v>82875</v>
      </c>
      <c r="BY6" s="304">
        <f>IF($F6&gt;1,$BX6*$D$209,"")</f>
        <v>105665.62499999999</v>
      </c>
      <c r="BZ6" s="304">
        <f>IF($F6&gt;2,$BY6*$D$210,"")</f>
        <v>134723.67187499997</v>
      </c>
      <c r="CA6" s="304">
        <f>IF($F6&gt;3,$BZ6*$D$211,"")</f>
        <v>171772.68164062494</v>
      </c>
      <c r="CB6" s="304">
        <f>IF($F6&gt;4,$CA6*$D$212,"")</f>
        <v>219010.1690917968</v>
      </c>
      <c r="CC6" s="304">
        <f>IF($F6&gt;5,$CB6*$D$213,"")</f>
        <v>279237.9655920409</v>
      </c>
      <c r="CD6" s="304">
        <f>IF($F6&gt;6,$CC6*$D$214,"")</f>
        <v>356028.4061298521</v>
      </c>
      <c r="CE6" s="485" t="s">
        <v>1477</v>
      </c>
      <c r="CF6" s="849" t="s">
        <v>515</v>
      </c>
      <c r="CG6" s="439" t="s">
        <v>290</v>
      </c>
      <c r="CH6" s="305">
        <v>50699805800</v>
      </c>
      <c r="CI6" s="305">
        <f t="shared" si="6"/>
        <v>15209941740</v>
      </c>
      <c r="CJ6" s="306">
        <f t="shared" si="7"/>
        <v>35489864060</v>
      </c>
      <c r="CK6" s="307" t="e">
        <f>CJ6-#REF!</f>
        <v>#REF!</v>
      </c>
      <c r="CL6" s="592">
        <v>4294967295</v>
      </c>
      <c r="CM6" s="21">
        <f t="shared" si="11"/>
        <v>0.08471368336089366</v>
      </c>
      <c r="CN6" s="21">
        <f t="shared" si="12"/>
        <v>0.2823789445363122</v>
      </c>
      <c r="CO6" s="12"/>
      <c r="CP6" s="625">
        <f t="shared" si="13"/>
        <v>130</v>
      </c>
      <c r="CQ6" s="626">
        <f t="shared" si="14"/>
        <v>110</v>
      </c>
      <c r="CR6" s="624" t="str">
        <f t="shared" si="15"/>
        <v>A</v>
      </c>
      <c r="CS6" s="634">
        <f t="shared" si="16"/>
        <v>70</v>
      </c>
      <c r="CT6" s="591">
        <f t="shared" si="8"/>
        <v>1762500000</v>
      </c>
      <c r="CU6" s="591">
        <f t="shared" si="9"/>
        <v>87.5</v>
      </c>
      <c r="CV6" s="592">
        <v>150000</v>
      </c>
      <c r="CW6" s="12"/>
      <c r="CX6" s="12"/>
      <c r="CY6" s="12"/>
      <c r="CZ6" s="12"/>
      <c r="DA6" s="54">
        <v>1.6875</v>
      </c>
      <c r="DB6" s="54">
        <v>6.25</v>
      </c>
      <c r="DC6" s="649">
        <f t="shared" si="17"/>
        <v>88.125</v>
      </c>
    </row>
    <row r="7" spans="1:107" ht="12.75">
      <c r="A7" s="24" t="s">
        <v>1580</v>
      </c>
      <c r="B7" s="69" t="s">
        <v>1580</v>
      </c>
      <c r="C7" s="319" t="s">
        <v>99</v>
      </c>
      <c r="D7" s="275">
        <v>95</v>
      </c>
      <c r="E7" s="276" t="s">
        <v>1711</v>
      </c>
      <c r="F7" s="277">
        <v>6</v>
      </c>
      <c r="G7" s="278">
        <v>7</v>
      </c>
      <c r="H7" s="859">
        <v>8</v>
      </c>
      <c r="I7" s="280">
        <v>2</v>
      </c>
      <c r="J7" s="807">
        <v>6</v>
      </c>
      <c r="K7" s="188">
        <v>3</v>
      </c>
      <c r="L7" s="866">
        <v>875</v>
      </c>
      <c r="M7" s="878">
        <v>965000</v>
      </c>
      <c r="N7" s="282">
        <v>400</v>
      </c>
      <c r="O7" s="453">
        <v>375</v>
      </c>
      <c r="P7" s="535">
        <v>125</v>
      </c>
      <c r="Q7" s="283">
        <v>325000</v>
      </c>
      <c r="R7" s="284">
        <v>60000</v>
      </c>
      <c r="S7" s="285">
        <f t="shared" si="0"/>
        <v>257758.12208496084</v>
      </c>
      <c r="T7" s="286">
        <v>1537500</v>
      </c>
      <c r="U7" s="287">
        <v>100000000</v>
      </c>
      <c r="V7" s="311">
        <v>10000000</v>
      </c>
      <c r="W7" s="289">
        <v>0.05</v>
      </c>
      <c r="X7" s="283">
        <v>300000</v>
      </c>
      <c r="Y7" s="43">
        <v>60</v>
      </c>
      <c r="Z7" s="44">
        <v>10</v>
      </c>
      <c r="AA7" s="44">
        <v>25</v>
      </c>
      <c r="AB7" s="49">
        <v>35</v>
      </c>
      <c r="AC7" s="290">
        <v>300000</v>
      </c>
      <c r="AD7" s="312">
        <v>44307.69</v>
      </c>
      <c r="AE7" s="292">
        <f t="shared" si="1"/>
        <v>6.770833685980921</v>
      </c>
      <c r="AF7" s="40">
        <v>0</v>
      </c>
      <c r="AG7" s="41">
        <v>50</v>
      </c>
      <c r="AH7" s="41">
        <v>40</v>
      </c>
      <c r="AI7" s="42">
        <v>20</v>
      </c>
      <c r="AJ7" s="293">
        <f t="shared" si="2"/>
        <v>925000</v>
      </c>
      <c r="AK7" s="103" t="str">
        <f t="shared" si="3"/>
        <v>=</v>
      </c>
      <c r="AL7" s="861">
        <v>99000</v>
      </c>
      <c r="AM7" s="458">
        <v>5940</v>
      </c>
      <c r="AN7" s="295">
        <f t="shared" si="4"/>
        <v>16.666666666666668</v>
      </c>
      <c r="AO7" s="145">
        <v>192</v>
      </c>
      <c r="AP7" s="313" t="s">
        <v>990</v>
      </c>
      <c r="AQ7" s="297">
        <v>50</v>
      </c>
      <c r="AR7" s="33">
        <v>0</v>
      </c>
      <c r="AS7" s="34">
        <v>0</v>
      </c>
      <c r="AT7" s="34">
        <v>0</v>
      </c>
      <c r="AU7" s="320">
        <v>200</v>
      </c>
      <c r="AV7" s="831">
        <v>15</v>
      </c>
      <c r="AW7" s="143">
        <v>80</v>
      </c>
      <c r="AX7" s="33">
        <v>0</v>
      </c>
      <c r="AY7" s="34">
        <v>0</v>
      </c>
      <c r="AZ7" s="34">
        <v>0</v>
      </c>
      <c r="BA7" s="84">
        <v>0</v>
      </c>
      <c r="BB7" s="586">
        <v>1.5</v>
      </c>
      <c r="BC7" s="590">
        <v>1.38E-08</v>
      </c>
      <c r="BD7" s="589">
        <f t="shared" si="10"/>
        <v>2916.2248144220575</v>
      </c>
      <c r="BE7" s="299">
        <v>95</v>
      </c>
      <c r="BF7" s="300">
        <v>3.5</v>
      </c>
      <c r="BG7" s="112" t="s">
        <v>1581</v>
      </c>
      <c r="BH7" s="541">
        <v>1000</v>
      </c>
      <c r="BI7" s="301"/>
      <c r="BJ7" s="696" t="s">
        <v>1476</v>
      </c>
      <c r="BK7" s="13" t="s">
        <v>1347</v>
      </c>
      <c r="BL7" s="303" t="s">
        <v>781</v>
      </c>
      <c r="BM7" s="86" t="s">
        <v>1323</v>
      </c>
      <c r="BN7" s="303" t="s">
        <v>104</v>
      </c>
      <c r="BO7" s="86"/>
      <c r="BP7" s="1049" t="s">
        <v>1257</v>
      </c>
      <c r="BQ7" s="21"/>
      <c r="BR7" s="609" t="s">
        <v>16</v>
      </c>
      <c r="BS7" s="21">
        <v>23773</v>
      </c>
      <c r="BT7" s="604"/>
      <c r="BU7" s="601">
        <v>9</v>
      </c>
      <c r="BV7" s="601">
        <v>5</v>
      </c>
      <c r="BW7" s="304">
        <f t="shared" si="5"/>
        <v>60000</v>
      </c>
      <c r="BX7" s="304">
        <f>IF($F7&gt;0,$BW7*$D$208,"")</f>
        <v>76500</v>
      </c>
      <c r="BY7" s="304">
        <f>IF($F7&gt;1,$BX7*$D$209,"")</f>
        <v>97537.5</v>
      </c>
      <c r="BZ7" s="304">
        <f>IF($F7&gt;2,$BY7*$D$210,"")</f>
        <v>124360.31249999999</v>
      </c>
      <c r="CA7" s="304">
        <f>IF($F7&gt;3,$BZ7*$D$211,"")</f>
        <v>158559.39843749997</v>
      </c>
      <c r="CB7" s="304">
        <f>IF($F7&gt;4,$CA7*$D$212,"")</f>
        <v>202163.23300781244</v>
      </c>
      <c r="CC7" s="304">
        <f>IF($F7&gt;5,$CB7*$D$213,"")</f>
        <v>257758.12208496084</v>
      </c>
      <c r="CD7" s="304">
        <f>IF($F7&gt;6,$CC7*$D$214,"")</f>
      </c>
      <c r="CE7" s="485" t="s">
        <v>1579</v>
      </c>
      <c r="CF7" s="849" t="s">
        <v>515</v>
      </c>
      <c r="CG7" s="439" t="s">
        <v>912</v>
      </c>
      <c r="CH7" s="305">
        <v>48678402000</v>
      </c>
      <c r="CI7" s="305">
        <f t="shared" si="6"/>
        <v>14603520600</v>
      </c>
      <c r="CJ7" s="306">
        <f t="shared" si="7"/>
        <v>34074881400</v>
      </c>
      <c r="CK7" s="307" t="e">
        <f>CJ7-#REF!</f>
        <v>#REF!</v>
      </c>
      <c r="CL7" s="592">
        <v>4294967295</v>
      </c>
      <c r="CM7" s="21">
        <f t="shared" si="11"/>
        <v>0.08823147676458237</v>
      </c>
      <c r="CN7" s="21">
        <f t="shared" si="12"/>
        <v>0.2941049225486079</v>
      </c>
      <c r="CO7" s="12"/>
      <c r="CP7" s="625">
        <f t="shared" si="13"/>
        <v>130</v>
      </c>
      <c r="CQ7" s="623">
        <f t="shared" si="14"/>
        <v>110</v>
      </c>
      <c r="CR7" s="624" t="str">
        <f t="shared" si="15"/>
        <v>=</v>
      </c>
      <c r="CS7" s="634">
        <f t="shared" si="16"/>
        <v>80</v>
      </c>
      <c r="CT7" s="591">
        <f t="shared" si="8"/>
        <v>1537500000</v>
      </c>
      <c r="CU7" s="591">
        <f t="shared" si="9"/>
        <v>100</v>
      </c>
      <c r="CV7" s="592">
        <v>150000</v>
      </c>
      <c r="CW7" s="12"/>
      <c r="CX7" s="12"/>
      <c r="CY7" s="12"/>
      <c r="CZ7" s="12"/>
      <c r="DA7" s="54">
        <v>1.6875</v>
      </c>
      <c r="DB7" s="54">
        <v>6.25</v>
      </c>
      <c r="DC7" s="649">
        <f t="shared" si="17"/>
        <v>76.875</v>
      </c>
    </row>
    <row r="8" spans="1:107" ht="12.75">
      <c r="A8" s="24" t="s">
        <v>1111</v>
      </c>
      <c r="B8" s="456" t="s">
        <v>1111</v>
      </c>
      <c r="C8" s="308" t="s">
        <v>827</v>
      </c>
      <c r="D8" s="321">
        <v>91</v>
      </c>
      <c r="E8" s="322" t="s">
        <v>35</v>
      </c>
      <c r="F8" s="15">
        <v>8</v>
      </c>
      <c r="G8" s="18">
        <v>4</v>
      </c>
      <c r="H8" s="683">
        <v>6</v>
      </c>
      <c r="I8" s="323">
        <v>0</v>
      </c>
      <c r="J8" s="324">
        <v>0</v>
      </c>
      <c r="K8" s="188">
        <v>3</v>
      </c>
      <c r="L8" s="867">
        <v>725</v>
      </c>
      <c r="M8" s="880">
        <v>925000</v>
      </c>
      <c r="N8" s="325">
        <v>400</v>
      </c>
      <c r="O8" s="457">
        <v>200000</v>
      </c>
      <c r="P8" s="535">
        <v>625</v>
      </c>
      <c r="Q8" s="283">
        <v>287500</v>
      </c>
      <c r="R8" s="284">
        <v>4950</v>
      </c>
      <c r="S8" s="326">
        <f t="shared" si="0"/>
        <v>27112.932466811813</v>
      </c>
      <c r="T8" s="286">
        <v>1237500</v>
      </c>
      <c r="U8" s="287">
        <v>620000000</v>
      </c>
      <c r="V8" s="311">
        <v>1000000</v>
      </c>
      <c r="W8" s="289">
        <v>0.05</v>
      </c>
      <c r="X8" s="283">
        <v>275000</v>
      </c>
      <c r="Y8" s="729">
        <v>50</v>
      </c>
      <c r="Z8" s="730">
        <v>20</v>
      </c>
      <c r="AA8" s="730">
        <v>25</v>
      </c>
      <c r="AB8" s="731">
        <v>35</v>
      </c>
      <c r="AC8" s="290">
        <v>212500</v>
      </c>
      <c r="AD8" s="312">
        <v>34000</v>
      </c>
      <c r="AE8" s="292">
        <f t="shared" si="1"/>
        <v>6.25</v>
      </c>
      <c r="AF8" s="40">
        <v>0</v>
      </c>
      <c r="AG8" s="41">
        <v>50</v>
      </c>
      <c r="AH8" s="41">
        <v>40</v>
      </c>
      <c r="AI8" s="42">
        <v>20</v>
      </c>
      <c r="AJ8" s="293">
        <f t="shared" si="2"/>
        <v>775000</v>
      </c>
      <c r="AK8" s="103" t="str">
        <f t="shared" si="3"/>
        <v>A</v>
      </c>
      <c r="AL8" s="862">
        <v>75000</v>
      </c>
      <c r="AM8" s="458">
        <v>4875</v>
      </c>
      <c r="AN8" s="295">
        <f t="shared" si="4"/>
        <v>15.384615384615385</v>
      </c>
      <c r="AO8" s="146">
        <v>146</v>
      </c>
      <c r="AP8" s="179" t="s">
        <v>465</v>
      </c>
      <c r="AQ8" s="297">
        <v>50</v>
      </c>
      <c r="AR8" s="666">
        <v>150</v>
      </c>
      <c r="AS8" s="34">
        <v>0</v>
      </c>
      <c r="AT8" s="34">
        <v>0</v>
      </c>
      <c r="AU8" s="73">
        <v>0</v>
      </c>
      <c r="AV8" s="443">
        <v>11</v>
      </c>
      <c r="AW8" s="144">
        <v>60</v>
      </c>
      <c r="AX8" s="33">
        <v>6</v>
      </c>
      <c r="AY8" s="34">
        <v>0</v>
      </c>
      <c r="AZ8" s="34">
        <v>0</v>
      </c>
      <c r="BA8" s="84">
        <v>0</v>
      </c>
      <c r="BB8" s="586">
        <v>1.5</v>
      </c>
      <c r="BC8" s="590">
        <v>1.38E-08</v>
      </c>
      <c r="BD8" s="589">
        <f t="shared" si="10"/>
        <v>2744.8397013614403</v>
      </c>
      <c r="BE8" s="299">
        <v>95</v>
      </c>
      <c r="BF8" s="300">
        <v>4</v>
      </c>
      <c r="BG8" s="112" t="s">
        <v>991</v>
      </c>
      <c r="BH8" s="541">
        <v>1000</v>
      </c>
      <c r="BI8" s="301">
        <v>3</v>
      </c>
      <c r="BJ8" s="696" t="s">
        <v>1476</v>
      </c>
      <c r="BK8" s="36" t="s">
        <v>669</v>
      </c>
      <c r="BL8" s="303" t="s">
        <v>363</v>
      </c>
      <c r="BM8" s="86" t="s">
        <v>409</v>
      </c>
      <c r="BN8" s="303" t="s">
        <v>104</v>
      </c>
      <c r="BO8" s="86"/>
      <c r="BP8" s="680" t="s">
        <v>410</v>
      </c>
      <c r="BR8" s="680">
        <v>5680</v>
      </c>
      <c r="BS8" s="21">
        <v>23919</v>
      </c>
      <c r="BT8" s="605"/>
      <c r="BU8" s="600">
        <v>0</v>
      </c>
      <c r="BV8" s="600">
        <v>25</v>
      </c>
      <c r="BW8" s="329">
        <f t="shared" si="5"/>
        <v>4950</v>
      </c>
      <c r="BX8" s="329">
        <f>IF($F8&gt;0,$BW8*$D$208,"")</f>
        <v>6311.25</v>
      </c>
      <c r="BY8" s="329">
        <f>IF($F8&gt;1,$BX8*$D$209,"")</f>
        <v>8046.843749999999</v>
      </c>
      <c r="BZ8" s="329">
        <f>IF($F8&gt;2,$BY8*$D$210,"")</f>
        <v>10259.725781249997</v>
      </c>
      <c r="CA8" s="329">
        <f>IF($F8&gt;3,$BZ8*$D$211,"")</f>
        <v>13081.150371093745</v>
      </c>
      <c r="CB8" s="329">
        <f>IF($F8&gt;4,$CA8*$D$212,"")</f>
        <v>16678.466723144524</v>
      </c>
      <c r="CC8" s="329">
        <f>IF($F8&gt;5,$CB8*$D$213,"")</f>
        <v>21265.045072009267</v>
      </c>
      <c r="CD8" s="329">
        <f>IF($F8&gt;6,$CC8*$D$214,"")</f>
        <v>27112.932466811813</v>
      </c>
      <c r="CE8" s="485" t="s">
        <v>1110</v>
      </c>
      <c r="CF8" s="849" t="s">
        <v>515</v>
      </c>
      <c r="CG8" s="440" t="s">
        <v>1258</v>
      </c>
      <c r="CH8" s="305">
        <v>14573872400</v>
      </c>
      <c r="CI8" s="305">
        <f t="shared" si="6"/>
        <v>4372161720</v>
      </c>
      <c r="CJ8" s="306">
        <f t="shared" si="7"/>
        <v>10201710680</v>
      </c>
      <c r="CK8" s="307" t="e">
        <f>CJ8-#REF!</f>
        <v>#REF!</v>
      </c>
      <c r="CL8" s="591">
        <v>4294967295</v>
      </c>
      <c r="CM8" s="21">
        <f t="shared" si="11"/>
        <v>0.2947032317230937</v>
      </c>
      <c r="CN8" s="21">
        <f t="shared" si="12"/>
        <v>0.9823441057436457</v>
      </c>
      <c r="CO8" s="54"/>
      <c r="CP8" s="625">
        <f t="shared" si="13"/>
        <v>130</v>
      </c>
      <c r="CQ8" s="626">
        <f t="shared" si="14"/>
        <v>110</v>
      </c>
      <c r="CR8" s="624" t="str">
        <f t="shared" si="15"/>
        <v>A</v>
      </c>
      <c r="CS8" s="634">
        <f t="shared" si="16"/>
        <v>60</v>
      </c>
      <c r="CT8" s="591">
        <f t="shared" si="8"/>
        <v>1237500000</v>
      </c>
      <c r="CU8" s="591">
        <f t="shared" si="9"/>
        <v>75</v>
      </c>
      <c r="CV8" s="592">
        <v>150000</v>
      </c>
      <c r="CW8" s="54"/>
      <c r="CX8" s="54"/>
      <c r="CY8" s="54"/>
      <c r="CZ8" s="54"/>
      <c r="DA8" s="54">
        <v>1.6875</v>
      </c>
      <c r="DB8" s="54">
        <v>6.25</v>
      </c>
      <c r="DC8" s="649">
        <f t="shared" si="17"/>
        <v>61.875</v>
      </c>
    </row>
    <row r="9" spans="1:107" ht="12.75">
      <c r="A9" s="24" t="s">
        <v>1511</v>
      </c>
      <c r="B9" s="456" t="s">
        <v>1511</v>
      </c>
      <c r="C9" s="636" t="s">
        <v>865</v>
      </c>
      <c r="D9" s="321">
        <v>91</v>
      </c>
      <c r="E9" s="322" t="s">
        <v>35</v>
      </c>
      <c r="F9" s="15">
        <v>4</v>
      </c>
      <c r="G9" s="18">
        <v>8</v>
      </c>
      <c r="H9" s="683">
        <v>6</v>
      </c>
      <c r="I9" s="323">
        <v>0</v>
      </c>
      <c r="J9" s="324">
        <v>0</v>
      </c>
      <c r="K9" s="188">
        <v>3</v>
      </c>
      <c r="L9" s="867">
        <v>975</v>
      </c>
      <c r="M9" s="880">
        <v>550000</v>
      </c>
      <c r="N9" s="325">
        <v>400</v>
      </c>
      <c r="O9" s="457">
        <v>200000</v>
      </c>
      <c r="P9" s="535">
        <v>625</v>
      </c>
      <c r="Q9" s="283">
        <v>275000</v>
      </c>
      <c r="R9" s="284">
        <v>5215</v>
      </c>
      <c r="S9" s="326">
        <f t="shared" si="0"/>
        <v>13781.454380859368</v>
      </c>
      <c r="T9" s="286">
        <v>1320000</v>
      </c>
      <c r="U9" s="287">
        <v>530000000</v>
      </c>
      <c r="V9" s="311">
        <v>1000000</v>
      </c>
      <c r="W9" s="289">
        <v>0.043</v>
      </c>
      <c r="X9" s="283">
        <v>237500</v>
      </c>
      <c r="Y9" s="43">
        <v>50</v>
      </c>
      <c r="Z9" s="44">
        <v>10</v>
      </c>
      <c r="AA9" s="44">
        <v>25</v>
      </c>
      <c r="AB9" s="49">
        <v>45</v>
      </c>
      <c r="AC9" s="290">
        <v>250000</v>
      </c>
      <c r="AD9" s="312">
        <v>40000</v>
      </c>
      <c r="AE9" s="292">
        <f t="shared" si="1"/>
        <v>6.25</v>
      </c>
      <c r="AF9" s="729">
        <v>0</v>
      </c>
      <c r="AG9" s="730">
        <v>50</v>
      </c>
      <c r="AH9" s="730">
        <v>40</v>
      </c>
      <c r="AI9" s="745">
        <v>20</v>
      </c>
      <c r="AJ9" s="293">
        <f t="shared" si="2"/>
        <v>762500</v>
      </c>
      <c r="AK9" s="331" t="s">
        <v>931</v>
      </c>
      <c r="AL9" s="862">
        <v>63750</v>
      </c>
      <c r="AM9" s="458">
        <v>4143.75</v>
      </c>
      <c r="AN9" s="295">
        <f t="shared" si="4"/>
        <v>15.384615384615385</v>
      </c>
      <c r="AO9" s="145">
        <v>172</v>
      </c>
      <c r="AP9" s="85" t="s">
        <v>465</v>
      </c>
      <c r="AQ9" s="297">
        <v>40</v>
      </c>
      <c r="AR9" s="33">
        <v>0</v>
      </c>
      <c r="AS9" s="667">
        <v>150</v>
      </c>
      <c r="AT9" s="34">
        <v>0</v>
      </c>
      <c r="AU9" s="73">
        <v>0</v>
      </c>
      <c r="AV9" s="443">
        <v>12</v>
      </c>
      <c r="AW9" s="143">
        <v>60</v>
      </c>
      <c r="AX9" s="33">
        <v>0</v>
      </c>
      <c r="AY9" s="34">
        <v>6</v>
      </c>
      <c r="AZ9" s="34">
        <v>0</v>
      </c>
      <c r="BA9" s="84">
        <v>0</v>
      </c>
      <c r="BB9" s="586">
        <v>1.5</v>
      </c>
      <c r="BC9" s="590">
        <v>1.38E-08</v>
      </c>
      <c r="BD9" s="589">
        <f t="shared" si="10"/>
        <v>2187.2941370223975</v>
      </c>
      <c r="BE9" s="299">
        <v>95</v>
      </c>
      <c r="BF9" s="300">
        <v>4</v>
      </c>
      <c r="BG9" s="112" t="s">
        <v>696</v>
      </c>
      <c r="BH9" s="541">
        <v>1000</v>
      </c>
      <c r="BI9" s="301">
        <v>3</v>
      </c>
      <c r="BJ9" s="696" t="s">
        <v>1476</v>
      </c>
      <c r="BK9" s="36" t="s">
        <v>669</v>
      </c>
      <c r="BL9" s="303" t="s">
        <v>1541</v>
      </c>
      <c r="BM9" s="86" t="s">
        <v>1385</v>
      </c>
      <c r="BN9" s="303" t="s">
        <v>104</v>
      </c>
      <c r="BO9" s="86"/>
      <c r="BP9" s="1" t="s">
        <v>221</v>
      </c>
      <c r="BR9" s="680">
        <v>3300</v>
      </c>
      <c r="BS9" s="21">
        <v>23917</v>
      </c>
      <c r="BT9" s="605"/>
      <c r="BU9" s="600">
        <v>0</v>
      </c>
      <c r="BV9" s="600">
        <v>25</v>
      </c>
      <c r="BW9" s="329">
        <f t="shared" si="5"/>
        <v>5215</v>
      </c>
      <c r="BX9" s="329">
        <f>IF($F9&gt;0,$BW9*$D$208,"")</f>
        <v>6649.124999999999</v>
      </c>
      <c r="BY9" s="329">
        <f>IF($F9&gt;1,$BX9*$D$209,"")</f>
        <v>8477.634374999998</v>
      </c>
      <c r="BZ9" s="329">
        <f>IF($F9&gt;2,$BY9*$D$210,"")</f>
        <v>10808.983828124996</v>
      </c>
      <c r="CA9" s="329">
        <f>IF($F9&gt;3,$BZ9*$D$211,"")</f>
        <v>13781.454380859368</v>
      </c>
      <c r="CB9" s="329">
        <f>IF($F9&gt;4,$CA9*$D$212,"")</f>
      </c>
      <c r="CC9" s="329">
        <f>IF($F9&gt;5,$CB9*$D$213,"")</f>
      </c>
      <c r="CD9" s="329">
        <f>IF($F9&gt;6,$CC9*$D$214,"")</f>
      </c>
      <c r="CE9" s="485" t="s">
        <v>411</v>
      </c>
      <c r="CF9" s="849" t="s">
        <v>515</v>
      </c>
      <c r="CG9" s="440" t="s">
        <v>1261</v>
      </c>
      <c r="CH9" s="305">
        <v>14032432500</v>
      </c>
      <c r="CI9" s="305">
        <f t="shared" si="6"/>
        <v>4209729750</v>
      </c>
      <c r="CJ9" s="306">
        <f t="shared" si="7"/>
        <v>9822702750</v>
      </c>
      <c r="CK9" s="307" t="e">
        <f>CJ9-#REF!</f>
        <v>#REF!</v>
      </c>
      <c r="CL9" s="591">
        <v>4294967295</v>
      </c>
      <c r="CM9" s="21">
        <f t="shared" si="11"/>
        <v>0.3060743242484865</v>
      </c>
      <c r="CN9" s="21">
        <f t="shared" si="12"/>
        <v>1.020247747494955</v>
      </c>
      <c r="CO9" s="54"/>
      <c r="CP9" s="622">
        <f t="shared" si="13"/>
        <v>130</v>
      </c>
      <c r="CQ9" s="623">
        <f t="shared" si="14"/>
        <v>110</v>
      </c>
      <c r="CR9" s="624" t="str">
        <f t="shared" si="15"/>
        <v>S</v>
      </c>
      <c r="CS9" s="634">
        <f t="shared" si="16"/>
        <v>60</v>
      </c>
      <c r="CT9" s="591">
        <f t="shared" si="8"/>
        <v>1320000000</v>
      </c>
      <c r="CU9" s="591">
        <f t="shared" si="9"/>
        <v>75</v>
      </c>
      <c r="CV9" s="592">
        <v>150000</v>
      </c>
      <c r="CW9" s="54"/>
      <c r="CX9" s="54"/>
      <c r="CY9" s="54"/>
      <c r="CZ9" s="54"/>
      <c r="DA9" s="54">
        <v>1.6875</v>
      </c>
      <c r="DB9" s="54">
        <v>6.25</v>
      </c>
      <c r="DC9" s="649">
        <f t="shared" si="17"/>
        <v>56.75999999999999</v>
      </c>
    </row>
    <row r="10" spans="1:107" ht="12.75">
      <c r="A10" s="24" t="s">
        <v>1455</v>
      </c>
      <c r="B10" s="456" t="s">
        <v>1455</v>
      </c>
      <c r="C10" s="315" t="s">
        <v>1042</v>
      </c>
      <c r="D10" s="321">
        <v>91</v>
      </c>
      <c r="E10" s="322" t="s">
        <v>35</v>
      </c>
      <c r="F10" s="15">
        <v>7</v>
      </c>
      <c r="G10" s="18">
        <v>5</v>
      </c>
      <c r="H10" s="683">
        <v>6</v>
      </c>
      <c r="I10" s="323">
        <v>0</v>
      </c>
      <c r="J10" s="324">
        <v>0</v>
      </c>
      <c r="K10" s="188">
        <v>3</v>
      </c>
      <c r="L10" s="867">
        <v>800</v>
      </c>
      <c r="M10" s="880">
        <v>825000</v>
      </c>
      <c r="N10" s="325">
        <v>400</v>
      </c>
      <c r="O10" s="457">
        <v>250000</v>
      </c>
      <c r="P10" s="808">
        <v>625</v>
      </c>
      <c r="Q10" s="283">
        <v>300000</v>
      </c>
      <c r="R10" s="284">
        <v>5250</v>
      </c>
      <c r="S10" s="326">
        <f t="shared" si="0"/>
        <v>28756.14049510344</v>
      </c>
      <c r="T10" s="286">
        <v>1292500</v>
      </c>
      <c r="U10" s="287">
        <v>582000000</v>
      </c>
      <c r="V10" s="311">
        <v>1000000</v>
      </c>
      <c r="W10" s="289">
        <v>0.05</v>
      </c>
      <c r="X10" s="283">
        <v>262500</v>
      </c>
      <c r="Y10" s="43">
        <v>50</v>
      </c>
      <c r="Z10" s="44">
        <v>10</v>
      </c>
      <c r="AA10" s="44">
        <v>35</v>
      </c>
      <c r="AB10" s="49">
        <v>35</v>
      </c>
      <c r="AC10" s="290">
        <v>225000</v>
      </c>
      <c r="AD10" s="312">
        <v>36000</v>
      </c>
      <c r="AE10" s="292">
        <f t="shared" si="1"/>
        <v>6.25</v>
      </c>
      <c r="AF10" s="43">
        <v>0</v>
      </c>
      <c r="AG10" s="44">
        <v>50</v>
      </c>
      <c r="AH10" s="44">
        <v>40</v>
      </c>
      <c r="AI10" s="45">
        <v>20</v>
      </c>
      <c r="AJ10" s="293">
        <f t="shared" si="2"/>
        <v>787500</v>
      </c>
      <c r="AK10" s="103" t="str">
        <f t="shared" si="3"/>
        <v>A</v>
      </c>
      <c r="AL10" s="862">
        <v>67500</v>
      </c>
      <c r="AM10" s="458">
        <v>4387.5</v>
      </c>
      <c r="AN10" s="295">
        <f t="shared" si="4"/>
        <v>15.384615384615385</v>
      </c>
      <c r="AO10" s="145">
        <v>157</v>
      </c>
      <c r="AP10" s="85" t="s">
        <v>465</v>
      </c>
      <c r="AQ10" s="297">
        <v>45</v>
      </c>
      <c r="AR10" s="33">
        <v>0</v>
      </c>
      <c r="AS10" s="34">
        <v>0</v>
      </c>
      <c r="AT10" s="667">
        <v>150</v>
      </c>
      <c r="AU10" s="73">
        <v>0</v>
      </c>
      <c r="AV10" s="443">
        <v>12</v>
      </c>
      <c r="AW10" s="143">
        <v>70</v>
      </c>
      <c r="AX10" s="33">
        <v>0</v>
      </c>
      <c r="AY10" s="34">
        <v>0</v>
      </c>
      <c r="AZ10" s="34">
        <v>6</v>
      </c>
      <c r="BA10" s="84">
        <v>0</v>
      </c>
      <c r="BB10" s="586">
        <v>1.5</v>
      </c>
      <c r="BC10" s="590">
        <v>1.38E-08</v>
      </c>
      <c r="BD10" s="589">
        <f t="shared" si="10"/>
        <v>2365.2342107476243</v>
      </c>
      <c r="BE10" s="299">
        <v>95</v>
      </c>
      <c r="BF10" s="300">
        <v>4</v>
      </c>
      <c r="BG10" s="112" t="s">
        <v>1027</v>
      </c>
      <c r="BH10" s="541">
        <v>1000</v>
      </c>
      <c r="BI10" s="301">
        <v>3</v>
      </c>
      <c r="BJ10" s="696" t="s">
        <v>1476</v>
      </c>
      <c r="BK10" s="36" t="s">
        <v>669</v>
      </c>
      <c r="BL10" s="303" t="s">
        <v>460</v>
      </c>
      <c r="BM10" s="86" t="s">
        <v>866</v>
      </c>
      <c r="BN10" s="303" t="s">
        <v>104</v>
      </c>
      <c r="BO10" s="86"/>
      <c r="BP10" s="1" t="s">
        <v>199</v>
      </c>
      <c r="BR10" s="680">
        <v>3250</v>
      </c>
      <c r="BS10" s="21">
        <v>23913</v>
      </c>
      <c r="BT10" s="605"/>
      <c r="BU10" s="600">
        <v>0</v>
      </c>
      <c r="BV10" s="600">
        <v>31.25</v>
      </c>
      <c r="BW10" s="329">
        <f t="shared" si="5"/>
        <v>5250</v>
      </c>
      <c r="BX10" s="329">
        <f>IF($F10&gt;0,$BW10*$D$208,"")</f>
        <v>6693.749999999999</v>
      </c>
      <c r="BY10" s="329">
        <f>IF($F10&gt;1,$BX10*$D$209,"")</f>
        <v>8534.531249999998</v>
      </c>
      <c r="BZ10" s="329">
        <f>IF($F10&gt;2,$BY10*$D$210,"")</f>
        <v>10881.527343749996</v>
      </c>
      <c r="CA10" s="329">
        <f>IF($F10&gt;3,$BZ10*$D$211,"")</f>
        <v>13873.947363281244</v>
      </c>
      <c r="CB10" s="329">
        <f>IF($F10&gt;4,$CA10*$D$212,"")</f>
        <v>17689.282888183585</v>
      </c>
      <c r="CC10" s="329">
        <f>IF($F10&gt;5,$CB10*$D$213,"")</f>
        <v>22553.83568243407</v>
      </c>
      <c r="CD10" s="329">
        <f>IF($F10&gt;6,$CC10*$D$214,"")</f>
        <v>28756.14049510344</v>
      </c>
      <c r="CE10" s="485" t="s">
        <v>1123</v>
      </c>
      <c r="CF10" s="849" t="s">
        <v>515</v>
      </c>
      <c r="CG10" s="440" t="s">
        <v>939</v>
      </c>
      <c r="CH10" s="305">
        <v>15827570900</v>
      </c>
      <c r="CI10" s="305">
        <f t="shared" si="6"/>
        <v>4748271270</v>
      </c>
      <c r="CJ10" s="306">
        <f t="shared" si="7"/>
        <v>11079299630</v>
      </c>
      <c r="CK10" s="307" t="e">
        <f>CJ10-#REF!</f>
        <v>#REF!</v>
      </c>
      <c r="CL10" s="591">
        <v>4294967295</v>
      </c>
      <c r="CM10" s="21">
        <f t="shared" si="11"/>
        <v>0.2713598518772075</v>
      </c>
      <c r="CN10" s="21">
        <f t="shared" si="12"/>
        <v>0.9045328395906918</v>
      </c>
      <c r="CO10" s="54"/>
      <c r="CP10" s="625">
        <f t="shared" si="13"/>
        <v>130</v>
      </c>
      <c r="CQ10" s="626">
        <f t="shared" si="14"/>
        <v>110</v>
      </c>
      <c r="CR10" s="624" t="str">
        <f t="shared" si="15"/>
        <v>A</v>
      </c>
      <c r="CS10" s="634">
        <f t="shared" si="16"/>
        <v>70</v>
      </c>
      <c r="CT10" s="591">
        <f t="shared" si="8"/>
        <v>1292500000</v>
      </c>
      <c r="CU10" s="591">
        <f t="shared" si="9"/>
        <v>87.5</v>
      </c>
      <c r="CV10" s="592">
        <v>150000</v>
      </c>
      <c r="CW10" s="54"/>
      <c r="CX10" s="54"/>
      <c r="CY10" s="54"/>
      <c r="CZ10" s="54"/>
      <c r="DA10" s="54">
        <v>1.6875</v>
      </c>
      <c r="DB10" s="54">
        <v>6.25</v>
      </c>
      <c r="DC10" s="649">
        <f t="shared" si="17"/>
        <v>64.625</v>
      </c>
    </row>
    <row r="11" spans="1:107" ht="12.75">
      <c r="A11" s="24" t="s">
        <v>274</v>
      </c>
      <c r="B11" s="456" t="s">
        <v>274</v>
      </c>
      <c r="C11" s="319" t="s">
        <v>99</v>
      </c>
      <c r="D11" s="321">
        <v>91</v>
      </c>
      <c r="E11" s="322" t="s">
        <v>35</v>
      </c>
      <c r="F11" s="15">
        <v>5</v>
      </c>
      <c r="G11" s="18">
        <v>7</v>
      </c>
      <c r="H11" s="683">
        <v>6</v>
      </c>
      <c r="I11" s="323">
        <v>0</v>
      </c>
      <c r="J11" s="324">
        <v>0</v>
      </c>
      <c r="K11" s="188">
        <v>3</v>
      </c>
      <c r="L11" s="867">
        <v>950</v>
      </c>
      <c r="M11" s="880">
        <v>650000</v>
      </c>
      <c r="N11" s="325">
        <v>400</v>
      </c>
      <c r="O11" s="457">
        <v>225000</v>
      </c>
      <c r="P11" s="535">
        <v>625</v>
      </c>
      <c r="Q11" s="283">
        <v>262500</v>
      </c>
      <c r="R11" s="284">
        <v>5050</v>
      </c>
      <c r="S11" s="326">
        <f t="shared" si="0"/>
        <v>17015.405444824213</v>
      </c>
      <c r="T11" s="286">
        <v>1127500</v>
      </c>
      <c r="U11" s="287">
        <v>510000000</v>
      </c>
      <c r="V11" s="311">
        <v>1000000</v>
      </c>
      <c r="W11" s="289">
        <v>0.05</v>
      </c>
      <c r="X11" s="283">
        <v>250000</v>
      </c>
      <c r="Y11" s="43">
        <v>60</v>
      </c>
      <c r="Z11" s="44">
        <v>10</v>
      </c>
      <c r="AA11" s="44">
        <v>25</v>
      </c>
      <c r="AB11" s="49">
        <v>35</v>
      </c>
      <c r="AC11" s="290">
        <v>237500</v>
      </c>
      <c r="AD11" s="312">
        <v>38000</v>
      </c>
      <c r="AE11" s="292">
        <f t="shared" si="1"/>
        <v>6.25</v>
      </c>
      <c r="AF11" s="43">
        <v>0</v>
      </c>
      <c r="AG11" s="44">
        <v>50</v>
      </c>
      <c r="AH11" s="44">
        <v>40</v>
      </c>
      <c r="AI11" s="45">
        <v>20</v>
      </c>
      <c r="AJ11" s="293">
        <f t="shared" si="2"/>
        <v>750000</v>
      </c>
      <c r="AK11" s="103" t="str">
        <f t="shared" si="3"/>
        <v>~</v>
      </c>
      <c r="AL11" s="862">
        <v>60000</v>
      </c>
      <c r="AM11" s="458">
        <v>3900</v>
      </c>
      <c r="AN11" s="295">
        <f t="shared" si="4"/>
        <v>15.384615384615385</v>
      </c>
      <c r="AO11" s="145">
        <v>138</v>
      </c>
      <c r="AP11" s="85" t="s">
        <v>465</v>
      </c>
      <c r="AQ11" s="297">
        <v>55</v>
      </c>
      <c r="AR11" s="33">
        <v>0</v>
      </c>
      <c r="AS11" s="34">
        <v>0</v>
      </c>
      <c r="AT11" s="34">
        <v>0</v>
      </c>
      <c r="AU11" s="668">
        <v>150</v>
      </c>
      <c r="AV11" s="443">
        <v>11</v>
      </c>
      <c r="AW11" s="143">
        <v>80</v>
      </c>
      <c r="AX11" s="33">
        <v>0</v>
      </c>
      <c r="AY11" s="34">
        <v>0</v>
      </c>
      <c r="AZ11" s="34">
        <v>0</v>
      </c>
      <c r="BA11" s="84">
        <v>6</v>
      </c>
      <c r="BB11" s="586">
        <v>1.5</v>
      </c>
      <c r="BC11" s="590">
        <v>1.38E-08</v>
      </c>
      <c r="BD11" s="589">
        <f t="shared" si="10"/>
        <v>2410.1031524149234</v>
      </c>
      <c r="BE11" s="299">
        <v>95</v>
      </c>
      <c r="BF11" s="300">
        <v>4</v>
      </c>
      <c r="BG11" s="112" t="s">
        <v>1581</v>
      </c>
      <c r="BH11" s="541">
        <v>1000</v>
      </c>
      <c r="BI11" s="301">
        <v>3</v>
      </c>
      <c r="BJ11" s="696" t="s">
        <v>1476</v>
      </c>
      <c r="BK11" s="36" t="s">
        <v>669</v>
      </c>
      <c r="BL11" s="303" t="s">
        <v>1441</v>
      </c>
      <c r="BM11" s="86" t="s">
        <v>1005</v>
      </c>
      <c r="BN11" s="303" t="s">
        <v>104</v>
      </c>
      <c r="BO11" s="86"/>
      <c r="BP11" s="1" t="s">
        <v>425</v>
      </c>
      <c r="BR11" s="680">
        <v>4000</v>
      </c>
      <c r="BS11" s="21">
        <v>22852</v>
      </c>
      <c r="BT11" s="605"/>
      <c r="BU11" s="600">
        <v>0</v>
      </c>
      <c r="BV11" s="600">
        <v>25</v>
      </c>
      <c r="BW11" s="329">
        <f t="shared" si="5"/>
        <v>5050</v>
      </c>
      <c r="BX11" s="329">
        <f>IF($F11&gt;0,$BW11*$D$208,"")</f>
        <v>6438.75</v>
      </c>
      <c r="BY11" s="329">
        <f>IF($F11&gt;1,$BX11*$D$209,"")</f>
        <v>8209.40625</v>
      </c>
      <c r="BZ11" s="329">
        <f>IF($F11&gt;2,$BY11*$D$210,"")</f>
        <v>10466.992968749999</v>
      </c>
      <c r="CA11" s="329">
        <f>IF($F11&gt;3,$BZ11*$D$211,"")</f>
        <v>13345.416035156248</v>
      </c>
      <c r="CB11" s="329">
        <f>IF($F11&gt;4,$CA11*$D$212,"")</f>
        <v>17015.405444824213</v>
      </c>
      <c r="CC11" s="329">
        <f>IF($F11&gt;5,$CB11*$D$213,"")</f>
      </c>
      <c r="CD11" s="329">
        <f>IF($F11&gt;6,$CC11*$D$214,"")</f>
      </c>
      <c r="CE11" s="485" t="s">
        <v>1510</v>
      </c>
      <c r="CF11" s="849" t="s">
        <v>515</v>
      </c>
      <c r="CG11" s="440" t="s">
        <v>941</v>
      </c>
      <c r="CH11" s="305">
        <v>14331507600</v>
      </c>
      <c r="CI11" s="305">
        <f t="shared" si="6"/>
        <v>4299452280</v>
      </c>
      <c r="CJ11" s="306">
        <f t="shared" si="7"/>
        <v>10032055320</v>
      </c>
      <c r="CK11" s="307" t="e">
        <f>CJ11-#REF!</f>
        <v>#REF!</v>
      </c>
      <c r="CL11" s="591">
        <v>4294967295</v>
      </c>
      <c r="CM11" s="21">
        <f t="shared" si="11"/>
        <v>0.2996870542077513</v>
      </c>
      <c r="CN11" s="21">
        <f t="shared" si="12"/>
        <v>0.998956847359171</v>
      </c>
      <c r="CO11" s="54"/>
      <c r="CP11" s="625">
        <f t="shared" si="13"/>
        <v>130</v>
      </c>
      <c r="CQ11" s="623">
        <f t="shared" si="14"/>
        <v>110</v>
      </c>
      <c r="CR11" s="624" t="str">
        <f t="shared" si="15"/>
        <v>~</v>
      </c>
      <c r="CS11" s="634">
        <f t="shared" si="16"/>
        <v>80</v>
      </c>
      <c r="CT11" s="591">
        <f t="shared" si="8"/>
        <v>1127500000</v>
      </c>
      <c r="CU11" s="591">
        <f t="shared" si="9"/>
        <v>100</v>
      </c>
      <c r="CV11" s="592">
        <v>150000</v>
      </c>
      <c r="CW11" s="54"/>
      <c r="CX11" s="54"/>
      <c r="CY11" s="54"/>
      <c r="CZ11" s="54"/>
      <c r="DA11" s="54">
        <v>1.6875</v>
      </c>
      <c r="DB11" s="54">
        <v>6.25</v>
      </c>
      <c r="DC11" s="649">
        <f t="shared" si="17"/>
        <v>56.375</v>
      </c>
    </row>
    <row r="12" spans="1:107" ht="12.75">
      <c r="A12" s="24" t="s">
        <v>412</v>
      </c>
      <c r="B12" s="456" t="s">
        <v>412</v>
      </c>
      <c r="C12" s="308" t="s">
        <v>827</v>
      </c>
      <c r="D12" s="321">
        <v>90</v>
      </c>
      <c r="E12" s="322" t="s">
        <v>156</v>
      </c>
      <c r="F12" s="15">
        <v>7</v>
      </c>
      <c r="G12" s="18">
        <v>4</v>
      </c>
      <c r="H12" s="683">
        <v>5</v>
      </c>
      <c r="I12" s="323">
        <v>0</v>
      </c>
      <c r="J12" s="324">
        <v>0</v>
      </c>
      <c r="K12" s="188">
        <v>3</v>
      </c>
      <c r="L12" s="867">
        <v>625</v>
      </c>
      <c r="M12" s="880">
        <v>775000</v>
      </c>
      <c r="N12" s="325">
        <v>400</v>
      </c>
      <c r="O12" s="457">
        <v>80000</v>
      </c>
      <c r="P12" s="535">
        <v>375</v>
      </c>
      <c r="Q12" s="283">
        <v>137500</v>
      </c>
      <c r="R12" s="284">
        <v>3300</v>
      </c>
      <c r="S12" s="326">
        <f t="shared" si="0"/>
        <v>18075.288311207878</v>
      </c>
      <c r="T12" s="286">
        <v>1012500</v>
      </c>
      <c r="U12" s="287">
        <v>13950000</v>
      </c>
      <c r="V12" s="311">
        <v>1000000</v>
      </c>
      <c r="W12" s="289">
        <v>0.05</v>
      </c>
      <c r="X12" s="283">
        <v>137500</v>
      </c>
      <c r="Y12" s="729">
        <v>50</v>
      </c>
      <c r="Z12" s="730">
        <v>20</v>
      </c>
      <c r="AA12" s="730">
        <v>25</v>
      </c>
      <c r="AB12" s="731">
        <v>35</v>
      </c>
      <c r="AC12" s="290">
        <v>87500</v>
      </c>
      <c r="AD12" s="312">
        <v>14000</v>
      </c>
      <c r="AE12" s="292">
        <f t="shared" si="1"/>
        <v>6.25</v>
      </c>
      <c r="AF12" s="40">
        <v>0</v>
      </c>
      <c r="AG12" s="41">
        <v>50</v>
      </c>
      <c r="AH12" s="41">
        <v>40</v>
      </c>
      <c r="AI12" s="42">
        <v>20</v>
      </c>
      <c r="AJ12" s="293">
        <f t="shared" si="2"/>
        <v>362500</v>
      </c>
      <c r="AK12" s="103" t="str">
        <f aca="true" t="shared" si="18" ref="AK12:AK34">IF($X12=$AC12,"=",IF(MAX($AC12,$X12)*0.1&gt;ABS($X12-$AC12),"~",IF(MAX($AC12,$X12)=$X12,"A","S")))</f>
        <v>A</v>
      </c>
      <c r="AL12" s="862">
        <v>64875</v>
      </c>
      <c r="AM12" s="458">
        <v>4500</v>
      </c>
      <c r="AN12" s="295">
        <f t="shared" si="4"/>
        <v>14.416666666666666</v>
      </c>
      <c r="AO12" s="146">
        <v>92</v>
      </c>
      <c r="AP12" s="179" t="s">
        <v>465</v>
      </c>
      <c r="AQ12" s="297">
        <v>55</v>
      </c>
      <c r="AR12" s="33">
        <v>72</v>
      </c>
      <c r="AS12" s="34">
        <v>0</v>
      </c>
      <c r="AT12" s="34">
        <v>0</v>
      </c>
      <c r="AU12" s="73">
        <v>0</v>
      </c>
      <c r="AV12" s="39">
        <v>2920</v>
      </c>
      <c r="AW12" s="144">
        <v>70</v>
      </c>
      <c r="AX12" s="33">
        <v>6</v>
      </c>
      <c r="AY12" s="34">
        <v>0</v>
      </c>
      <c r="AZ12" s="34">
        <v>0</v>
      </c>
      <c r="BA12" s="84">
        <v>0</v>
      </c>
      <c r="BB12" s="586">
        <v>1.5</v>
      </c>
      <c r="BC12" s="590">
        <v>1.38E-08</v>
      </c>
      <c r="BD12" s="589">
        <f t="shared" si="10"/>
        <v>2901.9055287171227</v>
      </c>
      <c r="BE12" s="299">
        <v>95</v>
      </c>
      <c r="BF12" s="300">
        <v>6.5</v>
      </c>
      <c r="BG12" s="112" t="s">
        <v>991</v>
      </c>
      <c r="BH12" s="541">
        <v>1000</v>
      </c>
      <c r="BI12" s="301">
        <v>1</v>
      </c>
      <c r="BJ12" s="696" t="s">
        <v>1476</v>
      </c>
      <c r="BK12" s="36" t="s">
        <v>1345</v>
      </c>
      <c r="BL12" s="303" t="s">
        <v>1513</v>
      </c>
      <c r="BM12" s="86" t="s">
        <v>1122</v>
      </c>
      <c r="BN12" s="303" t="s">
        <v>104</v>
      </c>
      <c r="BO12" s="86"/>
      <c r="BP12" s="680" t="s">
        <v>427</v>
      </c>
      <c r="BR12" s="680">
        <v>3300</v>
      </c>
      <c r="BS12" s="21">
        <v>23757</v>
      </c>
      <c r="BT12" s="605"/>
      <c r="BU12" s="600">
        <v>0</v>
      </c>
      <c r="BV12" s="600">
        <v>15</v>
      </c>
      <c r="BW12" s="329">
        <f t="shared" si="5"/>
        <v>3300</v>
      </c>
      <c r="BX12" s="329">
        <f>IF($F12&gt;0,$BW12*$D$208,"")</f>
        <v>4207.5</v>
      </c>
      <c r="BY12" s="329">
        <f>IF($F12&gt;1,$BX12*$D$209,"")</f>
        <v>5364.5625</v>
      </c>
      <c r="BZ12" s="329">
        <f>IF($F12&gt;2,$BY12*$D$210,"")</f>
        <v>6839.8171875</v>
      </c>
      <c r="CA12" s="329">
        <f>IF($F12&gt;3,$BZ12*$D$211,"")</f>
        <v>8720.766914062498</v>
      </c>
      <c r="CB12" s="329">
        <f>IF($F12&gt;4,$CA12*$D$212,"")</f>
        <v>11118.977815429686</v>
      </c>
      <c r="CC12" s="329">
        <f>IF($F12&gt;5,$CB12*$D$213,"")</f>
        <v>14176.696714672848</v>
      </c>
      <c r="CD12" s="329">
        <f>IF($F12&gt;6,$CC12*$D$214,"")</f>
        <v>18075.288311207878</v>
      </c>
      <c r="CE12" s="485" t="s">
        <v>1386</v>
      </c>
      <c r="CF12" s="849" t="s">
        <v>515</v>
      </c>
      <c r="CG12" s="440" t="s">
        <v>1259</v>
      </c>
      <c r="CH12" s="305">
        <v>768568380</v>
      </c>
      <c r="CI12" s="305">
        <f t="shared" si="6"/>
        <v>230570514</v>
      </c>
      <c r="CJ12" s="306">
        <f t="shared" si="7"/>
        <v>537997866</v>
      </c>
      <c r="CK12" s="307" t="e">
        <f>CJ12-#REF!</f>
        <v>#REF!</v>
      </c>
      <c r="CL12" s="591">
        <v>768568380</v>
      </c>
      <c r="CM12" s="21">
        <f t="shared" si="11"/>
        <v>1</v>
      </c>
      <c r="CN12" s="21">
        <f t="shared" si="12"/>
        <v>3.3333333333333335</v>
      </c>
      <c r="CO12" s="54"/>
      <c r="CP12" s="625">
        <f t="shared" si="13"/>
        <v>130</v>
      </c>
      <c r="CQ12" s="626">
        <f t="shared" si="14"/>
        <v>110</v>
      </c>
      <c r="CR12" s="624" t="str">
        <f t="shared" si="15"/>
        <v>A</v>
      </c>
      <c r="CS12" s="634">
        <f t="shared" si="16"/>
        <v>70</v>
      </c>
      <c r="CT12" s="591">
        <f t="shared" si="8"/>
        <v>1012500000</v>
      </c>
      <c r="CU12" s="591">
        <f t="shared" si="9"/>
        <v>87.5</v>
      </c>
      <c r="CV12" s="592">
        <v>150000</v>
      </c>
      <c r="CW12" s="54"/>
      <c r="CX12" s="54"/>
      <c r="CY12" s="54"/>
      <c r="CZ12" s="54"/>
      <c r="DA12" s="54">
        <v>1.6875</v>
      </c>
      <c r="DB12" s="54">
        <v>6.25</v>
      </c>
      <c r="DC12" s="649">
        <f t="shared" si="17"/>
        <v>50.625</v>
      </c>
    </row>
    <row r="13" spans="1:107" ht="12.75">
      <c r="A13" s="24" t="s">
        <v>1124</v>
      </c>
      <c r="B13" s="456" t="s">
        <v>1124</v>
      </c>
      <c r="C13" s="636" t="s">
        <v>865</v>
      </c>
      <c r="D13" s="321">
        <v>90</v>
      </c>
      <c r="E13" s="322" t="s">
        <v>156</v>
      </c>
      <c r="F13" s="15">
        <v>4</v>
      </c>
      <c r="G13" s="18">
        <v>7</v>
      </c>
      <c r="H13" s="683">
        <v>5</v>
      </c>
      <c r="I13" s="323">
        <v>0</v>
      </c>
      <c r="J13" s="324">
        <v>0</v>
      </c>
      <c r="K13" s="188">
        <v>3</v>
      </c>
      <c r="L13" s="867">
        <v>825</v>
      </c>
      <c r="M13" s="880">
        <v>450000</v>
      </c>
      <c r="N13" s="325">
        <v>400</v>
      </c>
      <c r="O13" s="457">
        <v>80000</v>
      </c>
      <c r="P13" s="535">
        <v>375</v>
      </c>
      <c r="Q13" s="283">
        <v>125000</v>
      </c>
      <c r="R13" s="284">
        <v>3475</v>
      </c>
      <c r="S13" s="326">
        <f t="shared" si="0"/>
        <v>9183.231826171874</v>
      </c>
      <c r="T13" s="286">
        <v>1080000</v>
      </c>
      <c r="U13" s="287">
        <v>11925000</v>
      </c>
      <c r="V13" s="311">
        <v>1000000</v>
      </c>
      <c r="W13" s="289">
        <v>0.043</v>
      </c>
      <c r="X13" s="283">
        <v>100000</v>
      </c>
      <c r="Y13" s="43">
        <v>50</v>
      </c>
      <c r="Z13" s="44">
        <v>10</v>
      </c>
      <c r="AA13" s="44">
        <v>25</v>
      </c>
      <c r="AB13" s="49">
        <v>45</v>
      </c>
      <c r="AC13" s="290">
        <v>125000</v>
      </c>
      <c r="AD13" s="312">
        <v>20000</v>
      </c>
      <c r="AE13" s="292">
        <f t="shared" si="1"/>
        <v>6.25</v>
      </c>
      <c r="AF13" s="729">
        <v>0</v>
      </c>
      <c r="AG13" s="730">
        <v>50</v>
      </c>
      <c r="AH13" s="730">
        <v>40</v>
      </c>
      <c r="AI13" s="745">
        <v>20</v>
      </c>
      <c r="AJ13" s="293">
        <f t="shared" si="2"/>
        <v>350000</v>
      </c>
      <c r="AK13" s="103" t="str">
        <f t="shared" si="18"/>
        <v>S</v>
      </c>
      <c r="AL13" s="862">
        <v>56250</v>
      </c>
      <c r="AM13" s="458">
        <v>3901.73</v>
      </c>
      <c r="AN13" s="295">
        <f t="shared" si="4"/>
        <v>14.416681830880147</v>
      </c>
      <c r="AO13" s="145">
        <v>110</v>
      </c>
      <c r="AP13" s="85" t="s">
        <v>465</v>
      </c>
      <c r="AQ13" s="297">
        <v>45</v>
      </c>
      <c r="AR13" s="33">
        <v>0</v>
      </c>
      <c r="AS13" s="34">
        <v>80</v>
      </c>
      <c r="AT13" s="34">
        <v>0</v>
      </c>
      <c r="AU13" s="73">
        <v>0</v>
      </c>
      <c r="AV13" s="39">
        <v>3065</v>
      </c>
      <c r="AW13" s="143">
        <v>65</v>
      </c>
      <c r="AX13" s="33">
        <v>0</v>
      </c>
      <c r="AY13" s="34">
        <v>6</v>
      </c>
      <c r="AZ13" s="34">
        <v>0</v>
      </c>
      <c r="BA13" s="84">
        <v>0</v>
      </c>
      <c r="BB13" s="586">
        <v>1.5</v>
      </c>
      <c r="BC13" s="590">
        <v>1.38E-08</v>
      </c>
      <c r="BD13" s="589">
        <f t="shared" si="10"/>
        <v>2358.846618357488</v>
      </c>
      <c r="BE13" s="299">
        <v>95</v>
      </c>
      <c r="BF13" s="300">
        <v>6.5</v>
      </c>
      <c r="BG13" s="112" t="s">
        <v>696</v>
      </c>
      <c r="BH13" s="541">
        <v>1000</v>
      </c>
      <c r="BI13" s="301">
        <v>1</v>
      </c>
      <c r="BJ13" s="696" t="s">
        <v>1476</v>
      </c>
      <c r="BK13" s="36" t="s">
        <v>1345</v>
      </c>
      <c r="BL13" s="303" t="s">
        <v>1514</v>
      </c>
      <c r="BM13" s="86" t="s">
        <v>744</v>
      </c>
      <c r="BN13" s="303" t="s">
        <v>104</v>
      </c>
      <c r="BO13" s="86"/>
      <c r="BP13" s="1" t="s">
        <v>220</v>
      </c>
      <c r="BR13" s="680">
        <v>1300</v>
      </c>
      <c r="BS13" s="21">
        <v>23915</v>
      </c>
      <c r="BT13" s="605"/>
      <c r="BU13" s="600">
        <v>0</v>
      </c>
      <c r="BV13" s="600">
        <v>15</v>
      </c>
      <c r="BW13" s="329">
        <f t="shared" si="5"/>
        <v>3475</v>
      </c>
      <c r="BX13" s="329">
        <f>IF($F13&gt;0,$BW13*$D$208,"")</f>
        <v>4430.625</v>
      </c>
      <c r="BY13" s="329">
        <f>IF($F13&gt;1,$BX13*$D$209,"")</f>
        <v>5649.046875</v>
      </c>
      <c r="BZ13" s="329">
        <f>IF($F13&gt;2,$BY13*$D$210,"")</f>
        <v>7202.534765625</v>
      </c>
      <c r="CA13" s="329">
        <f>IF($F13&gt;3,$BZ13*$D$211,"")</f>
        <v>9183.231826171874</v>
      </c>
      <c r="CB13" s="329">
        <f>IF($F13&gt;4,$CA13*$D$212,"")</f>
      </c>
      <c r="CC13" s="329">
        <f>IF($F13&gt;5,$CB13*$D$213,"")</f>
      </c>
      <c r="CD13" s="329">
        <f>IF($F13&gt;6,$CC13*$D$214,"")</f>
      </c>
      <c r="CE13" s="485" t="s">
        <v>867</v>
      </c>
      <c r="CF13" s="849" t="s">
        <v>515</v>
      </c>
      <c r="CG13" s="440" t="s">
        <v>1260</v>
      </c>
      <c r="CH13" s="305">
        <v>733826590</v>
      </c>
      <c r="CI13" s="305">
        <f t="shared" si="6"/>
        <v>220147977</v>
      </c>
      <c r="CJ13" s="306">
        <f t="shared" si="7"/>
        <v>513678613</v>
      </c>
      <c r="CK13" s="307" t="e">
        <f>CJ13-#REF!</f>
        <v>#REF!</v>
      </c>
      <c r="CL13" s="591">
        <v>733826590</v>
      </c>
      <c r="CM13" s="21">
        <f t="shared" si="11"/>
        <v>1</v>
      </c>
      <c r="CN13" s="21">
        <f t="shared" si="12"/>
        <v>3.3333333333333335</v>
      </c>
      <c r="CO13" s="54"/>
      <c r="CP13" s="622">
        <f t="shared" si="13"/>
        <v>130</v>
      </c>
      <c r="CQ13" s="623">
        <f t="shared" si="14"/>
        <v>110</v>
      </c>
      <c r="CR13" s="624" t="str">
        <f t="shared" si="15"/>
        <v>S</v>
      </c>
      <c r="CS13" s="634">
        <f t="shared" si="16"/>
        <v>65</v>
      </c>
      <c r="CT13" s="591">
        <f t="shared" si="8"/>
        <v>1080000000</v>
      </c>
      <c r="CU13" s="591">
        <f t="shared" si="9"/>
        <v>81.25</v>
      </c>
      <c r="CV13" s="592">
        <v>150000</v>
      </c>
      <c r="CW13" s="54"/>
      <c r="CX13" s="54"/>
      <c r="CY13" s="54"/>
      <c r="CZ13" s="54"/>
      <c r="DA13" s="54">
        <v>1.6875</v>
      </c>
      <c r="DB13" s="54">
        <v>6.25</v>
      </c>
      <c r="DC13" s="649">
        <f t="shared" si="17"/>
        <v>46.43999999999999</v>
      </c>
    </row>
    <row r="14" spans="1:107" ht="12.75">
      <c r="A14" s="24" t="s">
        <v>868</v>
      </c>
      <c r="B14" s="456" t="s">
        <v>868</v>
      </c>
      <c r="C14" s="315" t="s">
        <v>1042</v>
      </c>
      <c r="D14" s="321">
        <v>90</v>
      </c>
      <c r="E14" s="322" t="s">
        <v>156</v>
      </c>
      <c r="F14" s="15">
        <v>6</v>
      </c>
      <c r="G14" s="18">
        <v>5</v>
      </c>
      <c r="H14" s="683">
        <v>5</v>
      </c>
      <c r="I14" s="323">
        <v>0</v>
      </c>
      <c r="J14" s="324">
        <v>0</v>
      </c>
      <c r="K14" s="188">
        <v>3</v>
      </c>
      <c r="L14" s="867">
        <v>725</v>
      </c>
      <c r="M14" s="880">
        <v>700000</v>
      </c>
      <c r="N14" s="325">
        <v>400</v>
      </c>
      <c r="O14" s="457">
        <v>100000</v>
      </c>
      <c r="P14" s="808">
        <v>375</v>
      </c>
      <c r="Q14" s="283">
        <v>150000</v>
      </c>
      <c r="R14" s="284">
        <v>3500</v>
      </c>
      <c r="S14" s="326">
        <f t="shared" si="0"/>
        <v>15035.890454956048</v>
      </c>
      <c r="T14" s="286">
        <v>1057500</v>
      </c>
      <c r="U14" s="287">
        <v>13095000</v>
      </c>
      <c r="V14" s="311">
        <v>1000000</v>
      </c>
      <c r="W14" s="289">
        <v>0.05</v>
      </c>
      <c r="X14" s="283">
        <v>125000</v>
      </c>
      <c r="Y14" s="43">
        <v>50</v>
      </c>
      <c r="Z14" s="44">
        <v>10</v>
      </c>
      <c r="AA14" s="44">
        <v>35</v>
      </c>
      <c r="AB14" s="49">
        <v>35</v>
      </c>
      <c r="AC14" s="290">
        <v>100000</v>
      </c>
      <c r="AD14" s="312">
        <v>16000</v>
      </c>
      <c r="AE14" s="292">
        <f t="shared" si="1"/>
        <v>6.25</v>
      </c>
      <c r="AF14" s="43">
        <v>0</v>
      </c>
      <c r="AG14" s="41">
        <v>50</v>
      </c>
      <c r="AH14" s="44">
        <v>40</v>
      </c>
      <c r="AI14" s="45">
        <v>20</v>
      </c>
      <c r="AJ14" s="293">
        <f t="shared" si="2"/>
        <v>375000</v>
      </c>
      <c r="AK14" s="103" t="str">
        <f t="shared" si="18"/>
        <v>A</v>
      </c>
      <c r="AL14" s="862">
        <v>60000</v>
      </c>
      <c r="AM14" s="458">
        <v>4161.85</v>
      </c>
      <c r="AN14" s="295">
        <f t="shared" si="4"/>
        <v>14.416665665509328</v>
      </c>
      <c r="AO14" s="145">
        <v>100</v>
      </c>
      <c r="AP14" s="85" t="s">
        <v>465</v>
      </c>
      <c r="AQ14" s="297">
        <v>50</v>
      </c>
      <c r="AR14" s="33">
        <v>0</v>
      </c>
      <c r="AS14" s="34">
        <v>0</v>
      </c>
      <c r="AT14" s="34">
        <v>76</v>
      </c>
      <c r="AU14" s="73">
        <v>0</v>
      </c>
      <c r="AV14" s="39">
        <v>2960</v>
      </c>
      <c r="AW14" s="143">
        <v>75</v>
      </c>
      <c r="AX14" s="33">
        <v>0</v>
      </c>
      <c r="AY14" s="34">
        <v>0</v>
      </c>
      <c r="AZ14" s="34">
        <v>6</v>
      </c>
      <c r="BA14" s="84">
        <v>0</v>
      </c>
      <c r="BB14" s="586">
        <v>1.5</v>
      </c>
      <c r="BC14" s="590">
        <v>1.38E-08</v>
      </c>
      <c r="BD14" s="589">
        <f t="shared" si="10"/>
        <v>2569.637167231987</v>
      </c>
      <c r="BE14" s="299">
        <v>95</v>
      </c>
      <c r="BF14" s="300">
        <v>6.5</v>
      </c>
      <c r="BG14" s="112" t="s">
        <v>1027</v>
      </c>
      <c r="BH14" s="541">
        <v>1000</v>
      </c>
      <c r="BI14" s="301">
        <v>1</v>
      </c>
      <c r="BJ14" s="696" t="s">
        <v>1476</v>
      </c>
      <c r="BK14" s="36" t="s">
        <v>1345</v>
      </c>
      <c r="BL14" s="303" t="s">
        <v>1176</v>
      </c>
      <c r="BM14" s="86" t="s">
        <v>272</v>
      </c>
      <c r="BN14" s="303" t="s">
        <v>104</v>
      </c>
      <c r="BO14" s="86"/>
      <c r="BP14" s="1" t="s">
        <v>200</v>
      </c>
      <c r="BR14" s="680">
        <v>2300</v>
      </c>
      <c r="BS14" s="21">
        <v>23911</v>
      </c>
      <c r="BT14" s="605"/>
      <c r="BU14" s="600">
        <v>0</v>
      </c>
      <c r="BV14" s="600">
        <v>18.75</v>
      </c>
      <c r="BW14" s="329">
        <f t="shared" si="5"/>
        <v>3500</v>
      </c>
      <c r="BX14" s="329">
        <f>IF($F14&gt;0,$BW14*$D$208,"")</f>
        <v>4462.5</v>
      </c>
      <c r="BY14" s="329">
        <f>IF($F14&gt;1,$BX14*$D$209,"")</f>
        <v>5689.6875</v>
      </c>
      <c r="BZ14" s="329">
        <f>IF($F14&gt;2,$BY14*$D$210,"")</f>
        <v>7254.351562499999</v>
      </c>
      <c r="CA14" s="329">
        <f>IF($F14&gt;3,$BZ14*$D$211,"")</f>
        <v>9249.298242187499</v>
      </c>
      <c r="CB14" s="329">
        <f>IF($F14&gt;4,$CA14*$D$212,"")</f>
        <v>11792.855258789059</v>
      </c>
      <c r="CC14" s="329">
        <f>IF($F14&gt;5,$CB14*$D$213,"")</f>
        <v>15035.890454956048</v>
      </c>
      <c r="CD14" s="329">
        <f>IF($F14&gt;6,$CC14*$D$214,"")</f>
      </c>
      <c r="CE14" s="485" t="s">
        <v>273</v>
      </c>
      <c r="CF14" s="849" t="s">
        <v>515</v>
      </c>
      <c r="CG14" s="440" t="s">
        <v>940</v>
      </c>
      <c r="CH14" s="305">
        <v>844884708</v>
      </c>
      <c r="CI14" s="305">
        <f t="shared" si="6"/>
        <v>253465412.39999998</v>
      </c>
      <c r="CJ14" s="306">
        <f t="shared" si="7"/>
        <v>591419295.6</v>
      </c>
      <c r="CK14" s="307" t="e">
        <f>CJ14-#REF!</f>
        <v>#REF!</v>
      </c>
      <c r="CL14" s="591">
        <v>844884708</v>
      </c>
      <c r="CM14" s="21">
        <f t="shared" si="11"/>
        <v>1</v>
      </c>
      <c r="CN14" s="21">
        <f t="shared" si="12"/>
        <v>3.3333333333333335</v>
      </c>
      <c r="CO14" s="54"/>
      <c r="CP14" s="625">
        <f t="shared" si="13"/>
        <v>130</v>
      </c>
      <c r="CQ14" s="626">
        <f t="shared" si="14"/>
        <v>110</v>
      </c>
      <c r="CR14" s="624" t="str">
        <f t="shared" si="15"/>
        <v>A</v>
      </c>
      <c r="CS14" s="634">
        <f t="shared" si="16"/>
        <v>75</v>
      </c>
      <c r="CT14" s="591">
        <f t="shared" si="8"/>
        <v>1057500000</v>
      </c>
      <c r="CU14" s="591">
        <f t="shared" si="9"/>
        <v>93.75</v>
      </c>
      <c r="CV14" s="592">
        <v>150000</v>
      </c>
      <c r="CW14" s="54"/>
      <c r="CX14" s="54"/>
      <c r="CY14" s="54"/>
      <c r="CZ14" s="54"/>
      <c r="DA14" s="54">
        <v>1.6875</v>
      </c>
      <c r="DB14" s="54">
        <v>6.25</v>
      </c>
      <c r="DC14" s="649">
        <f t="shared" si="17"/>
        <v>52.875</v>
      </c>
    </row>
    <row r="15" spans="1:107" ht="12.75">
      <c r="A15" s="24" t="s">
        <v>1737</v>
      </c>
      <c r="B15" s="69" t="s">
        <v>1737</v>
      </c>
      <c r="C15" s="319" t="s">
        <v>99</v>
      </c>
      <c r="D15" s="321">
        <v>90</v>
      </c>
      <c r="E15" s="322" t="s">
        <v>156</v>
      </c>
      <c r="F15" s="15">
        <v>6</v>
      </c>
      <c r="G15" s="18">
        <v>5</v>
      </c>
      <c r="H15" s="803">
        <v>5</v>
      </c>
      <c r="I15" s="323">
        <v>0</v>
      </c>
      <c r="J15" s="324">
        <v>0</v>
      </c>
      <c r="K15" s="188">
        <v>3</v>
      </c>
      <c r="L15" s="867">
        <v>700</v>
      </c>
      <c r="M15" s="880">
        <v>575000</v>
      </c>
      <c r="N15" s="325">
        <v>400</v>
      </c>
      <c r="O15" s="457">
        <v>90000</v>
      </c>
      <c r="P15" s="535">
        <v>375</v>
      </c>
      <c r="Q15" s="283">
        <v>112500</v>
      </c>
      <c r="R15" s="284">
        <v>3375</v>
      </c>
      <c r="S15" s="326">
        <f t="shared" si="0"/>
        <v>14498.894367279046</v>
      </c>
      <c r="T15" s="286">
        <v>922500</v>
      </c>
      <c r="U15" s="287">
        <v>11250000</v>
      </c>
      <c r="V15" s="311">
        <v>1000000</v>
      </c>
      <c r="W15" s="289">
        <v>0.05</v>
      </c>
      <c r="X15" s="283">
        <v>112500</v>
      </c>
      <c r="Y15" s="43">
        <v>60</v>
      </c>
      <c r="Z15" s="44">
        <v>10</v>
      </c>
      <c r="AA15" s="44">
        <v>25</v>
      </c>
      <c r="AB15" s="49">
        <v>35</v>
      </c>
      <c r="AC15" s="290">
        <v>112500</v>
      </c>
      <c r="AD15" s="312">
        <v>18000</v>
      </c>
      <c r="AE15" s="292">
        <f t="shared" si="1"/>
        <v>6.25</v>
      </c>
      <c r="AF15" s="43">
        <v>0</v>
      </c>
      <c r="AG15" s="41">
        <v>50</v>
      </c>
      <c r="AH15" s="44">
        <v>40</v>
      </c>
      <c r="AI15" s="45">
        <v>20</v>
      </c>
      <c r="AJ15" s="293">
        <f t="shared" si="2"/>
        <v>337500</v>
      </c>
      <c r="AK15" s="103" t="str">
        <f t="shared" si="18"/>
        <v>=</v>
      </c>
      <c r="AL15" s="862">
        <v>52500</v>
      </c>
      <c r="AM15" s="458">
        <v>3641.62</v>
      </c>
      <c r="AN15" s="295">
        <f t="shared" si="4"/>
        <v>14.416660716933674</v>
      </c>
      <c r="AO15" s="145">
        <v>87</v>
      </c>
      <c r="AP15" s="85" t="s">
        <v>465</v>
      </c>
      <c r="AQ15" s="297">
        <v>60</v>
      </c>
      <c r="AR15" s="33">
        <v>0</v>
      </c>
      <c r="AS15" s="34">
        <v>0</v>
      </c>
      <c r="AT15" s="34">
        <v>0</v>
      </c>
      <c r="AU15" s="73">
        <v>68</v>
      </c>
      <c r="AV15" s="39">
        <v>2865</v>
      </c>
      <c r="AW15" s="143">
        <v>90</v>
      </c>
      <c r="AX15" s="33">
        <v>0</v>
      </c>
      <c r="AY15" s="34">
        <v>0</v>
      </c>
      <c r="AZ15" s="34">
        <v>0</v>
      </c>
      <c r="BA15" s="84">
        <v>6</v>
      </c>
      <c r="BB15" s="586">
        <v>1.5</v>
      </c>
      <c r="BC15" s="590">
        <v>1.38E-08</v>
      </c>
      <c r="BD15" s="589">
        <f t="shared" si="10"/>
        <v>2577.471426888182</v>
      </c>
      <c r="BE15" s="299">
        <v>95</v>
      </c>
      <c r="BF15" s="300">
        <v>6.5</v>
      </c>
      <c r="BG15" s="112" t="s">
        <v>1581</v>
      </c>
      <c r="BH15" s="541">
        <v>1000</v>
      </c>
      <c r="BI15" s="301">
        <v>1</v>
      </c>
      <c r="BJ15" s="696" t="s">
        <v>1476</v>
      </c>
      <c r="BK15" s="36" t="s">
        <v>1345</v>
      </c>
      <c r="BL15" s="303" t="s">
        <v>442</v>
      </c>
      <c r="BM15" s="86" t="s">
        <v>1776</v>
      </c>
      <c r="BN15" s="303" t="s">
        <v>104</v>
      </c>
      <c r="BO15" s="86"/>
      <c r="BP15" s="1" t="s">
        <v>426</v>
      </c>
      <c r="BR15" s="680">
        <v>2000</v>
      </c>
      <c r="BS15" s="21">
        <v>24483</v>
      </c>
      <c r="BT15" s="605"/>
      <c r="BU15" s="600">
        <v>0</v>
      </c>
      <c r="BV15" s="600">
        <v>15</v>
      </c>
      <c r="BW15" s="329">
        <f t="shared" si="5"/>
        <v>3375</v>
      </c>
      <c r="BX15" s="329">
        <f>IF($F15&gt;0,$BW15*$D$208,"")</f>
        <v>4303.125</v>
      </c>
      <c r="BY15" s="329">
        <f>IF($F15&gt;1,$BX15*$D$209,"")</f>
        <v>5486.484375</v>
      </c>
      <c r="BZ15" s="329">
        <f>IF($F15&gt;2,$BY15*$D$210,"")</f>
        <v>6995.267578124999</v>
      </c>
      <c r="CA15" s="329">
        <f>IF($F15&gt;3,$BZ15*$D$211,"")</f>
        <v>8918.966162109373</v>
      </c>
      <c r="CB15" s="329">
        <f>IF($F15&gt;4,$CA15*$D$212,"")</f>
        <v>11371.681856689449</v>
      </c>
      <c r="CC15" s="329">
        <f>IF($F15&gt;5,$CB15*$D$213,"")</f>
        <v>14498.894367279046</v>
      </c>
      <c r="CD15" s="329">
        <f>IF($F15&gt;6,$CC15*$D$214,"")</f>
      </c>
      <c r="CE15" s="485" t="s">
        <v>1006</v>
      </c>
      <c r="CF15" s="849" t="s">
        <v>515</v>
      </c>
      <c r="CG15" s="440" t="s">
        <v>942</v>
      </c>
      <c r="CH15" s="305">
        <v>771957982</v>
      </c>
      <c r="CI15" s="305">
        <f t="shared" si="6"/>
        <v>231587394.6</v>
      </c>
      <c r="CJ15" s="306">
        <f t="shared" si="7"/>
        <v>540370587.4</v>
      </c>
      <c r="CK15" s="307" t="e">
        <f>CJ15-#REF!</f>
        <v>#REF!</v>
      </c>
      <c r="CL15" s="591">
        <v>771957982</v>
      </c>
      <c r="CM15" s="21">
        <f t="shared" si="11"/>
        <v>1</v>
      </c>
      <c r="CN15" s="21">
        <f t="shared" si="12"/>
        <v>3.3333333333333335</v>
      </c>
      <c r="CO15" s="54"/>
      <c r="CP15" s="625">
        <f t="shared" si="13"/>
        <v>130</v>
      </c>
      <c r="CQ15" s="623">
        <f t="shared" si="14"/>
        <v>110</v>
      </c>
      <c r="CR15" s="624" t="str">
        <f t="shared" si="15"/>
        <v>=</v>
      </c>
      <c r="CS15" s="634">
        <f t="shared" si="16"/>
        <v>90</v>
      </c>
      <c r="CT15" s="591">
        <f t="shared" si="8"/>
        <v>922500000</v>
      </c>
      <c r="CU15" s="591">
        <f t="shared" si="9"/>
        <v>112.5</v>
      </c>
      <c r="CV15" s="592">
        <v>150000</v>
      </c>
      <c r="CW15" s="54"/>
      <c r="CX15" s="54"/>
      <c r="CY15" s="54"/>
      <c r="CZ15" s="54"/>
      <c r="DA15" s="54">
        <v>1.6875</v>
      </c>
      <c r="DB15" s="54">
        <v>6.25</v>
      </c>
      <c r="DC15" s="649">
        <f t="shared" si="17"/>
        <v>46.125</v>
      </c>
    </row>
    <row r="16" spans="1:107" ht="12.75">
      <c r="A16" s="24" t="s">
        <v>1778</v>
      </c>
      <c r="B16" s="69" t="s">
        <v>1778</v>
      </c>
      <c r="C16" s="308" t="s">
        <v>827</v>
      </c>
      <c r="D16" s="332">
        <v>85</v>
      </c>
      <c r="E16" s="333" t="s">
        <v>1779</v>
      </c>
      <c r="F16" s="277">
        <v>8</v>
      </c>
      <c r="G16" s="278">
        <v>4</v>
      </c>
      <c r="H16" s="279">
        <v>4</v>
      </c>
      <c r="I16" s="280">
        <v>0</v>
      </c>
      <c r="J16" s="804">
        <v>3</v>
      </c>
      <c r="K16" s="188">
        <v>3</v>
      </c>
      <c r="L16" s="866">
        <v>650</v>
      </c>
      <c r="M16" s="881">
        <v>650000</v>
      </c>
      <c r="N16" s="282">
        <v>400</v>
      </c>
      <c r="O16" s="453">
        <v>250</v>
      </c>
      <c r="P16" s="535">
        <v>125</v>
      </c>
      <c r="Q16" s="283">
        <v>203125</v>
      </c>
      <c r="R16" s="334">
        <v>7250</v>
      </c>
      <c r="S16" s="335">
        <f t="shared" si="0"/>
        <v>39710.86068371427</v>
      </c>
      <c r="T16" s="286">
        <v>1125000</v>
      </c>
      <c r="U16" s="287">
        <v>18500000</v>
      </c>
      <c r="V16" s="311">
        <v>1000000</v>
      </c>
      <c r="W16" s="289">
        <v>0.05</v>
      </c>
      <c r="X16" s="283">
        <v>203125</v>
      </c>
      <c r="Y16" s="43">
        <v>50</v>
      </c>
      <c r="Z16" s="44">
        <v>20</v>
      </c>
      <c r="AA16" s="44">
        <v>25</v>
      </c>
      <c r="AB16" s="49">
        <v>35</v>
      </c>
      <c r="AC16" s="290">
        <v>140625</v>
      </c>
      <c r="AD16" s="312">
        <v>18000</v>
      </c>
      <c r="AE16" s="292">
        <f t="shared" si="1"/>
        <v>7.8125</v>
      </c>
      <c r="AF16" s="43">
        <v>0</v>
      </c>
      <c r="AG16" s="41">
        <v>50</v>
      </c>
      <c r="AH16" s="44">
        <v>40</v>
      </c>
      <c r="AI16" s="45">
        <v>20</v>
      </c>
      <c r="AJ16" s="293">
        <f t="shared" si="2"/>
        <v>546875</v>
      </c>
      <c r="AK16" s="103" t="str">
        <f t="shared" si="18"/>
        <v>A</v>
      </c>
      <c r="AL16" s="862">
        <v>57375</v>
      </c>
      <c r="AM16" s="458">
        <v>4157.55</v>
      </c>
      <c r="AN16" s="295">
        <f t="shared" si="4"/>
        <v>13.800194826279899</v>
      </c>
      <c r="AO16" s="145">
        <v>97</v>
      </c>
      <c r="AP16" s="85" t="s">
        <v>462</v>
      </c>
      <c r="AQ16" s="297">
        <v>55</v>
      </c>
      <c r="AR16" s="33">
        <v>41</v>
      </c>
      <c r="AS16" s="34">
        <v>0</v>
      </c>
      <c r="AT16" s="34">
        <v>0</v>
      </c>
      <c r="AU16" s="73">
        <v>0</v>
      </c>
      <c r="AV16" s="39">
        <v>1700</v>
      </c>
      <c r="AW16" s="143">
        <v>65</v>
      </c>
      <c r="AX16" s="33">
        <v>0</v>
      </c>
      <c r="AY16" s="34">
        <v>0</v>
      </c>
      <c r="AZ16" s="34">
        <v>0</v>
      </c>
      <c r="BA16" s="84">
        <v>0</v>
      </c>
      <c r="BB16" s="586">
        <v>1.5</v>
      </c>
      <c r="BC16" s="590">
        <v>1.38E-08</v>
      </c>
      <c r="BD16" s="589">
        <f t="shared" si="10"/>
        <v>2309.7826086956525</v>
      </c>
      <c r="BE16" s="299">
        <v>95</v>
      </c>
      <c r="BF16" s="300">
        <v>5</v>
      </c>
      <c r="BG16" s="112" t="s">
        <v>991</v>
      </c>
      <c r="BH16" s="541">
        <v>1000</v>
      </c>
      <c r="BI16" s="301"/>
      <c r="BJ16" s="696" t="s">
        <v>1476</v>
      </c>
      <c r="BK16" s="13" t="s">
        <v>1780</v>
      </c>
      <c r="BL16" s="303" t="s">
        <v>661</v>
      </c>
      <c r="BM16" s="86" t="s">
        <v>1637</v>
      </c>
      <c r="BN16" s="303" t="s">
        <v>104</v>
      </c>
      <c r="BO16" s="86"/>
      <c r="BP16" s="680" t="s">
        <v>1638</v>
      </c>
      <c r="BQ16" s="21"/>
      <c r="BR16" s="680">
        <v>3400</v>
      </c>
      <c r="BS16" s="21">
        <v>19720</v>
      </c>
      <c r="BT16" s="604"/>
      <c r="BU16" s="601">
        <v>3.75</v>
      </c>
      <c r="BV16" s="601">
        <v>5</v>
      </c>
      <c r="BW16" s="304">
        <f t="shared" si="5"/>
        <v>7250</v>
      </c>
      <c r="BX16" s="304">
        <f>IF($F16&gt;0,$BW16*$D$208,"")</f>
        <v>9243.75</v>
      </c>
      <c r="BY16" s="304">
        <f>IF($F16&gt;1,$BX16*$D$209,"")</f>
        <v>11785.78125</v>
      </c>
      <c r="BZ16" s="304">
        <f>IF($F16&gt;2,$BY16*$D$210,"")</f>
        <v>15026.871093749998</v>
      </c>
      <c r="CA16" s="304">
        <f>IF($F16&gt;3,$BZ16*$D$211,"")</f>
        <v>19159.260644531245</v>
      </c>
      <c r="CB16" s="304">
        <f>IF($F16&gt;4,$CA16*$D$212,"")</f>
        <v>24428.057321777334</v>
      </c>
      <c r="CC16" s="304">
        <f>IF($F16&gt;5,$CB16*$D$213,"")</f>
        <v>31145.7730852661</v>
      </c>
      <c r="CD16" s="304">
        <f>IF($F16&gt;6,$CC16*$D$214,"")</f>
        <v>39710.86068371427</v>
      </c>
      <c r="CE16" s="485" t="s">
        <v>1777</v>
      </c>
      <c r="CF16" s="850" t="s">
        <v>514</v>
      </c>
      <c r="CG16" s="439" t="s">
        <v>673</v>
      </c>
      <c r="CH16" s="305">
        <v>1539006890</v>
      </c>
      <c r="CI16" s="305">
        <f t="shared" si="6"/>
        <v>461702067</v>
      </c>
      <c r="CJ16" s="306">
        <f t="shared" si="7"/>
        <v>1077304823</v>
      </c>
      <c r="CK16" s="307" t="e">
        <f>CJ16-#REF!</f>
        <v>#REF!</v>
      </c>
      <c r="CL16" s="592">
        <v>1539006890</v>
      </c>
      <c r="CM16" s="21">
        <f t="shared" si="11"/>
        <v>1</v>
      </c>
      <c r="CN16" s="21">
        <f t="shared" si="12"/>
        <v>3.3333333333333335</v>
      </c>
      <c r="CO16" s="12"/>
      <c r="CP16" s="625">
        <f t="shared" si="13"/>
        <v>130</v>
      </c>
      <c r="CQ16" s="626">
        <f t="shared" si="14"/>
        <v>110</v>
      </c>
      <c r="CR16" s="624" t="str">
        <f t="shared" si="15"/>
        <v>A</v>
      </c>
      <c r="CS16" s="634">
        <f t="shared" si="16"/>
        <v>65</v>
      </c>
      <c r="CT16" s="591">
        <f t="shared" si="8"/>
        <v>1125000000</v>
      </c>
      <c r="CU16" s="591">
        <f t="shared" si="9"/>
        <v>81.25</v>
      </c>
      <c r="CV16" s="592">
        <v>150000</v>
      </c>
      <c r="CW16" s="12"/>
      <c r="CX16" s="12"/>
      <c r="CY16" s="12"/>
      <c r="CZ16" s="12"/>
      <c r="DA16" s="54">
        <v>1.6875</v>
      </c>
      <c r="DB16" s="54">
        <v>6.25</v>
      </c>
      <c r="DC16" s="649">
        <f t="shared" si="17"/>
        <v>56.25</v>
      </c>
    </row>
    <row r="17" spans="1:107" ht="12.75">
      <c r="A17" s="24" t="s">
        <v>1640</v>
      </c>
      <c r="B17" s="69" t="s">
        <v>1640</v>
      </c>
      <c r="C17" s="636" t="s">
        <v>865</v>
      </c>
      <c r="D17" s="332">
        <v>85</v>
      </c>
      <c r="E17" s="333" t="s">
        <v>1779</v>
      </c>
      <c r="F17" s="277">
        <v>5</v>
      </c>
      <c r="G17" s="278">
        <v>7</v>
      </c>
      <c r="H17" s="279">
        <v>4</v>
      </c>
      <c r="I17" s="806">
        <v>3</v>
      </c>
      <c r="J17" s="309">
        <v>1</v>
      </c>
      <c r="K17" s="188">
        <v>3</v>
      </c>
      <c r="L17" s="866">
        <v>875</v>
      </c>
      <c r="M17" s="882">
        <v>450000</v>
      </c>
      <c r="N17" s="132">
        <v>400</v>
      </c>
      <c r="O17" s="453">
        <v>150</v>
      </c>
      <c r="P17" s="535">
        <v>125</v>
      </c>
      <c r="Q17" s="283">
        <v>187500</v>
      </c>
      <c r="R17" s="336">
        <v>9500</v>
      </c>
      <c r="S17" s="326">
        <f t="shared" si="0"/>
        <v>32009.1785595703</v>
      </c>
      <c r="T17" s="286">
        <v>1200000</v>
      </c>
      <c r="U17" s="287">
        <v>16250000</v>
      </c>
      <c r="V17" s="311">
        <v>1000000</v>
      </c>
      <c r="W17" s="289">
        <v>0.043</v>
      </c>
      <c r="X17" s="283">
        <v>156250</v>
      </c>
      <c r="Y17" s="43">
        <v>50</v>
      </c>
      <c r="Z17" s="44">
        <v>10</v>
      </c>
      <c r="AA17" s="44">
        <v>25</v>
      </c>
      <c r="AB17" s="49">
        <v>45</v>
      </c>
      <c r="AC17" s="290">
        <v>187500</v>
      </c>
      <c r="AD17" s="312">
        <v>24000</v>
      </c>
      <c r="AE17" s="292">
        <f t="shared" si="1"/>
        <v>7.8125</v>
      </c>
      <c r="AF17" s="43">
        <v>0</v>
      </c>
      <c r="AG17" s="41">
        <v>50</v>
      </c>
      <c r="AH17" s="44">
        <v>40</v>
      </c>
      <c r="AI17" s="45">
        <v>20</v>
      </c>
      <c r="AJ17" s="293">
        <f t="shared" si="2"/>
        <v>531250</v>
      </c>
      <c r="AK17" s="103" t="str">
        <f t="shared" si="18"/>
        <v>S</v>
      </c>
      <c r="AL17" s="862">
        <v>48750</v>
      </c>
      <c r="AM17" s="458">
        <v>3532.56</v>
      </c>
      <c r="AN17" s="295">
        <f t="shared" si="4"/>
        <v>13.80019023031456</v>
      </c>
      <c r="AO17" s="145">
        <v>115</v>
      </c>
      <c r="AP17" s="85" t="s">
        <v>462</v>
      </c>
      <c r="AQ17" s="297">
        <v>45</v>
      </c>
      <c r="AR17" s="33">
        <v>0</v>
      </c>
      <c r="AS17" s="34">
        <v>48</v>
      </c>
      <c r="AT17" s="34">
        <v>0</v>
      </c>
      <c r="AU17" s="73">
        <v>0</v>
      </c>
      <c r="AV17" s="39">
        <v>1770</v>
      </c>
      <c r="AW17" s="143">
        <v>60</v>
      </c>
      <c r="AX17" s="33">
        <v>0</v>
      </c>
      <c r="AY17" s="34">
        <v>0</v>
      </c>
      <c r="AZ17" s="34">
        <v>0</v>
      </c>
      <c r="BA17" s="84">
        <v>0</v>
      </c>
      <c r="BB17" s="586">
        <v>1.5</v>
      </c>
      <c r="BC17" s="590">
        <v>1.38E-08</v>
      </c>
      <c r="BD17" s="589">
        <f t="shared" si="10"/>
        <v>1839.9003623188407</v>
      </c>
      <c r="BE17" s="299">
        <v>95</v>
      </c>
      <c r="BF17" s="300">
        <v>5</v>
      </c>
      <c r="BG17" s="112" t="s">
        <v>696</v>
      </c>
      <c r="BH17" s="541">
        <v>1000</v>
      </c>
      <c r="BI17" s="301"/>
      <c r="BJ17" s="696" t="s">
        <v>1476</v>
      </c>
      <c r="BK17" s="13" t="s">
        <v>1756</v>
      </c>
      <c r="BL17" s="303" t="s">
        <v>265</v>
      </c>
      <c r="BM17" s="86" t="s">
        <v>6</v>
      </c>
      <c r="BN17" s="303" t="s">
        <v>104</v>
      </c>
      <c r="BO17" s="86"/>
      <c r="BP17" s="680" t="s">
        <v>7</v>
      </c>
      <c r="BQ17" s="21"/>
      <c r="BR17" s="680">
        <v>3400</v>
      </c>
      <c r="BS17" s="21">
        <v>19726</v>
      </c>
      <c r="BT17" s="604"/>
      <c r="BU17" s="601">
        <v>4.5</v>
      </c>
      <c r="BV17" s="601">
        <v>5</v>
      </c>
      <c r="BW17" s="304">
        <f t="shared" si="5"/>
        <v>9500</v>
      </c>
      <c r="BX17" s="304">
        <f>IF($F17&gt;0,$BW17*$D$208,"")</f>
        <v>12112.5</v>
      </c>
      <c r="BY17" s="304">
        <f>IF($F17&gt;1,$BX17*$D$209,"")</f>
        <v>15443.437499999998</v>
      </c>
      <c r="BZ17" s="304">
        <f>IF($F17&gt;2,$BY17*$D$210,"")</f>
        <v>19690.382812499996</v>
      </c>
      <c r="CA17" s="304">
        <f>IF($F17&gt;3,$BZ17*$D$211,"")</f>
        <v>25105.238085937493</v>
      </c>
      <c r="CB17" s="304">
        <f>IF($F17&gt;4,$CA17*$D$212,"")</f>
        <v>32009.1785595703</v>
      </c>
      <c r="CC17" s="304">
        <f>IF($F17&gt;5,$CB17*$D$213,"")</f>
      </c>
      <c r="CD17" s="304">
        <f>IF($F17&gt;6,$CC17*$D$214,"")</f>
      </c>
      <c r="CE17" s="485" t="s">
        <v>1639</v>
      </c>
      <c r="CF17" s="850" t="s">
        <v>514</v>
      </c>
      <c r="CG17" s="439" t="s">
        <v>276</v>
      </c>
      <c r="CH17" s="305">
        <v>1541551100</v>
      </c>
      <c r="CI17" s="305">
        <f t="shared" si="6"/>
        <v>462465330</v>
      </c>
      <c r="CJ17" s="306">
        <f t="shared" si="7"/>
        <v>1079085770</v>
      </c>
      <c r="CK17" s="307" t="e">
        <f>CJ17-#REF!</f>
        <v>#REF!</v>
      </c>
      <c r="CL17" s="592">
        <v>1541551100</v>
      </c>
      <c r="CM17" s="21">
        <f t="shared" si="11"/>
        <v>1</v>
      </c>
      <c r="CN17" s="21">
        <f t="shared" si="12"/>
        <v>3.3333333333333335</v>
      </c>
      <c r="CO17" s="12"/>
      <c r="CP17" s="622">
        <f t="shared" si="13"/>
        <v>130</v>
      </c>
      <c r="CQ17" s="623">
        <f t="shared" si="14"/>
        <v>110</v>
      </c>
      <c r="CR17" s="624" t="str">
        <f t="shared" si="15"/>
        <v>S</v>
      </c>
      <c r="CS17" s="634">
        <f t="shared" si="16"/>
        <v>60</v>
      </c>
      <c r="CT17" s="591">
        <f t="shared" si="8"/>
        <v>1200000000</v>
      </c>
      <c r="CU17" s="591">
        <f t="shared" si="9"/>
        <v>75</v>
      </c>
      <c r="CV17" s="592">
        <v>150000</v>
      </c>
      <c r="CW17" s="12"/>
      <c r="CX17" s="12"/>
      <c r="CY17" s="12"/>
      <c r="CZ17" s="12"/>
      <c r="DA17" s="54">
        <v>1.6875</v>
      </c>
      <c r="DB17" s="54">
        <v>6.25</v>
      </c>
      <c r="DC17" s="649">
        <f t="shared" si="17"/>
        <v>51.599999999999994</v>
      </c>
    </row>
    <row r="18" spans="1:107" ht="12.75">
      <c r="A18" s="24" t="s">
        <v>9</v>
      </c>
      <c r="B18" s="69" t="s">
        <v>9</v>
      </c>
      <c r="C18" s="315" t="s">
        <v>1042</v>
      </c>
      <c r="D18" s="332">
        <v>85</v>
      </c>
      <c r="E18" s="333" t="s">
        <v>1779</v>
      </c>
      <c r="F18" s="277">
        <v>7</v>
      </c>
      <c r="G18" s="278">
        <v>5</v>
      </c>
      <c r="H18" s="279">
        <v>4</v>
      </c>
      <c r="I18" s="280">
        <v>0</v>
      </c>
      <c r="J18" s="805">
        <v>3</v>
      </c>
      <c r="K18" s="188">
        <v>3</v>
      </c>
      <c r="L18" s="866">
        <v>750</v>
      </c>
      <c r="M18" s="881">
        <v>575000</v>
      </c>
      <c r="N18" s="282">
        <v>400</v>
      </c>
      <c r="O18" s="533">
        <v>500</v>
      </c>
      <c r="P18" s="808">
        <v>125</v>
      </c>
      <c r="Q18" s="283">
        <v>218750</v>
      </c>
      <c r="R18" s="284">
        <v>8500</v>
      </c>
      <c r="S18" s="326">
        <f t="shared" si="0"/>
        <v>46557.560801596046</v>
      </c>
      <c r="T18" s="316">
        <v>1175000</v>
      </c>
      <c r="U18" s="287">
        <v>17550000</v>
      </c>
      <c r="V18" s="311">
        <v>1000000</v>
      </c>
      <c r="W18" s="289">
        <v>0.05</v>
      </c>
      <c r="X18" s="283">
        <v>187500</v>
      </c>
      <c r="Y18" s="43">
        <v>50</v>
      </c>
      <c r="Z18" s="44">
        <v>10</v>
      </c>
      <c r="AA18" s="44">
        <v>35</v>
      </c>
      <c r="AB18" s="49">
        <v>35</v>
      </c>
      <c r="AC18" s="290">
        <v>156250</v>
      </c>
      <c r="AD18" s="312">
        <v>20000</v>
      </c>
      <c r="AE18" s="292">
        <f t="shared" si="1"/>
        <v>7.8125</v>
      </c>
      <c r="AF18" s="43">
        <v>0</v>
      </c>
      <c r="AG18" s="41">
        <v>50</v>
      </c>
      <c r="AH18" s="44">
        <v>40</v>
      </c>
      <c r="AI18" s="45">
        <v>20</v>
      </c>
      <c r="AJ18" s="293">
        <f t="shared" si="2"/>
        <v>562500</v>
      </c>
      <c r="AK18" s="103" t="str">
        <f t="shared" si="18"/>
        <v>A</v>
      </c>
      <c r="AL18" s="862">
        <v>52500</v>
      </c>
      <c r="AM18" s="458">
        <v>3804.29</v>
      </c>
      <c r="AN18" s="295">
        <f t="shared" si="4"/>
        <v>13.8002097631884</v>
      </c>
      <c r="AO18" s="145">
        <v>105</v>
      </c>
      <c r="AP18" s="85" t="s">
        <v>462</v>
      </c>
      <c r="AQ18" s="297">
        <v>50</v>
      </c>
      <c r="AR18" s="33">
        <v>0</v>
      </c>
      <c r="AS18" s="34">
        <v>0</v>
      </c>
      <c r="AT18" s="34">
        <v>44</v>
      </c>
      <c r="AU18" s="73">
        <v>0</v>
      </c>
      <c r="AV18" s="39">
        <v>1740</v>
      </c>
      <c r="AW18" s="143">
        <v>70</v>
      </c>
      <c r="AX18" s="33">
        <v>0</v>
      </c>
      <c r="AY18" s="34">
        <v>0</v>
      </c>
      <c r="AZ18" s="34">
        <v>0</v>
      </c>
      <c r="BA18" s="84">
        <v>0</v>
      </c>
      <c r="BB18" s="586">
        <v>1.5</v>
      </c>
      <c r="BC18" s="590">
        <v>1.38E-08</v>
      </c>
      <c r="BD18" s="589">
        <f t="shared" si="10"/>
        <v>2023.5892691951897</v>
      </c>
      <c r="BE18" s="299">
        <v>95</v>
      </c>
      <c r="BF18" s="300">
        <v>5</v>
      </c>
      <c r="BG18" s="112" t="s">
        <v>1027</v>
      </c>
      <c r="BH18" s="541">
        <v>1000</v>
      </c>
      <c r="BI18" s="301"/>
      <c r="BJ18" s="696" t="s">
        <v>1476</v>
      </c>
      <c r="BK18" s="13" t="s">
        <v>1752</v>
      </c>
      <c r="BL18" s="303" t="s">
        <v>1383</v>
      </c>
      <c r="BM18" s="86" t="s">
        <v>1064</v>
      </c>
      <c r="BN18" s="303" t="s">
        <v>104</v>
      </c>
      <c r="BO18" s="86"/>
      <c r="BP18" s="680" t="s">
        <v>1065</v>
      </c>
      <c r="BQ18" s="21"/>
      <c r="BR18" s="680">
        <v>3400</v>
      </c>
      <c r="BS18" s="21">
        <v>19724</v>
      </c>
      <c r="BT18" s="604"/>
      <c r="BU18" s="601">
        <v>3.75</v>
      </c>
      <c r="BV18" s="601">
        <v>17.5</v>
      </c>
      <c r="BW18" s="304">
        <f t="shared" si="5"/>
        <v>8500</v>
      </c>
      <c r="BX18" s="304">
        <f>IF($F18&gt;0,$BW18*$D$208,"")</f>
        <v>10837.5</v>
      </c>
      <c r="BY18" s="304">
        <f>IF($F18&gt;1,$BX18*$D$209,"")</f>
        <v>13817.812499999998</v>
      </c>
      <c r="BZ18" s="304">
        <f>IF($F18&gt;2,$BY18*$D$210,"")</f>
        <v>17617.710937499996</v>
      </c>
      <c r="CA18" s="304">
        <f>IF($F18&gt;3,$BZ18*$D$211,"")</f>
        <v>22462.581445312495</v>
      </c>
      <c r="CB18" s="304">
        <f>IF($F18&gt;4,$CA18*$D$212,"")</f>
        <v>28639.791342773427</v>
      </c>
      <c r="CC18" s="304">
        <f>IF($F18&gt;5,$CB18*$D$213,"")</f>
        <v>36515.733962036116</v>
      </c>
      <c r="CD18" s="304">
        <f>IF($F18&gt;6,$CC18*$D$214,"")</f>
        <v>46557.560801596046</v>
      </c>
      <c r="CE18" s="485" t="s">
        <v>8</v>
      </c>
      <c r="CF18" s="850" t="s">
        <v>514</v>
      </c>
      <c r="CG18" s="439" t="s">
        <v>310</v>
      </c>
      <c r="CH18" s="305">
        <v>1549802570</v>
      </c>
      <c r="CI18" s="305">
        <f t="shared" si="6"/>
        <v>464940771</v>
      </c>
      <c r="CJ18" s="306">
        <f t="shared" si="7"/>
        <v>1084861799</v>
      </c>
      <c r="CK18" s="307" t="e">
        <f>CJ18-#REF!</f>
        <v>#REF!</v>
      </c>
      <c r="CL18" s="592">
        <v>1549802570</v>
      </c>
      <c r="CM18" s="21">
        <f t="shared" si="11"/>
        <v>1</v>
      </c>
      <c r="CN18" s="21">
        <f t="shared" si="12"/>
        <v>3.3333333333333335</v>
      </c>
      <c r="CO18" s="12"/>
      <c r="CP18" s="625">
        <f t="shared" si="13"/>
        <v>130</v>
      </c>
      <c r="CQ18" s="626">
        <f t="shared" si="14"/>
        <v>110</v>
      </c>
      <c r="CR18" s="624" t="str">
        <f t="shared" si="15"/>
        <v>A</v>
      </c>
      <c r="CS18" s="634">
        <f t="shared" si="16"/>
        <v>70</v>
      </c>
      <c r="CT18" s="591">
        <f t="shared" si="8"/>
        <v>1175000000</v>
      </c>
      <c r="CU18" s="591">
        <f t="shared" si="9"/>
        <v>87.5</v>
      </c>
      <c r="CV18" s="592">
        <v>150000</v>
      </c>
      <c r="CW18" s="12"/>
      <c r="CX18" s="12"/>
      <c r="CY18" s="12"/>
      <c r="CZ18" s="12"/>
      <c r="DA18" s="54">
        <v>1.6875</v>
      </c>
      <c r="DB18" s="54">
        <v>6.25</v>
      </c>
      <c r="DC18" s="649">
        <f t="shared" si="17"/>
        <v>58.75</v>
      </c>
    </row>
    <row r="19" spans="1:107" ht="12.75">
      <c r="A19" s="24" t="s">
        <v>1067</v>
      </c>
      <c r="B19" s="69" t="s">
        <v>1067</v>
      </c>
      <c r="C19" s="319" t="s">
        <v>99</v>
      </c>
      <c r="D19" s="332">
        <v>85</v>
      </c>
      <c r="E19" s="333" t="s">
        <v>1779</v>
      </c>
      <c r="F19" s="277">
        <v>6</v>
      </c>
      <c r="G19" s="278">
        <v>5</v>
      </c>
      <c r="H19" s="279">
        <v>5</v>
      </c>
      <c r="I19" s="927">
        <v>2</v>
      </c>
      <c r="J19" s="928">
        <v>2</v>
      </c>
      <c r="K19" s="188">
        <v>3</v>
      </c>
      <c r="L19" s="866">
        <v>700</v>
      </c>
      <c r="M19" s="929">
        <v>625000</v>
      </c>
      <c r="N19" s="930">
        <v>400</v>
      </c>
      <c r="O19" s="533">
        <v>225</v>
      </c>
      <c r="P19" s="535">
        <v>125</v>
      </c>
      <c r="Q19" s="283">
        <v>171875</v>
      </c>
      <c r="R19" s="336">
        <v>10250</v>
      </c>
      <c r="S19" s="335">
        <f t="shared" si="0"/>
        <v>44033.679189514136</v>
      </c>
      <c r="T19" s="286">
        <v>1025000</v>
      </c>
      <c r="U19" s="287">
        <v>15500000</v>
      </c>
      <c r="V19" s="311">
        <v>1000000</v>
      </c>
      <c r="W19" s="289">
        <v>0.05</v>
      </c>
      <c r="X19" s="283">
        <v>171875</v>
      </c>
      <c r="Y19" s="43">
        <v>60</v>
      </c>
      <c r="Z19" s="44">
        <v>10</v>
      </c>
      <c r="AA19" s="44">
        <v>25</v>
      </c>
      <c r="AB19" s="49">
        <v>35</v>
      </c>
      <c r="AC19" s="290">
        <v>171875</v>
      </c>
      <c r="AD19" s="312">
        <v>22000</v>
      </c>
      <c r="AE19" s="292">
        <f t="shared" si="1"/>
        <v>7.8125</v>
      </c>
      <c r="AF19" s="43">
        <v>0</v>
      </c>
      <c r="AG19" s="44">
        <v>50</v>
      </c>
      <c r="AH19" s="44">
        <v>40</v>
      </c>
      <c r="AI19" s="45">
        <v>20</v>
      </c>
      <c r="AJ19" s="293">
        <f t="shared" si="2"/>
        <v>515625</v>
      </c>
      <c r="AK19" s="103" t="str">
        <f t="shared" si="18"/>
        <v>=</v>
      </c>
      <c r="AL19" s="862">
        <v>45000</v>
      </c>
      <c r="AM19" s="458">
        <v>3260.82</v>
      </c>
      <c r="AN19" s="295">
        <f t="shared" si="4"/>
        <v>13.8002097631884</v>
      </c>
      <c r="AO19" s="145">
        <v>92</v>
      </c>
      <c r="AP19" s="85" t="s">
        <v>462</v>
      </c>
      <c r="AQ19" s="931">
        <v>60</v>
      </c>
      <c r="AR19" s="33">
        <v>0</v>
      </c>
      <c r="AS19" s="34">
        <v>0</v>
      </c>
      <c r="AT19" s="34">
        <v>0</v>
      </c>
      <c r="AU19" s="73">
        <v>39</v>
      </c>
      <c r="AV19" s="932">
        <v>1635</v>
      </c>
      <c r="AW19" s="143">
        <v>85</v>
      </c>
      <c r="AX19" s="33">
        <v>0</v>
      </c>
      <c r="AY19" s="34">
        <v>0</v>
      </c>
      <c r="AZ19" s="34">
        <v>0</v>
      </c>
      <c r="BA19" s="84">
        <v>0</v>
      </c>
      <c r="BB19" s="586">
        <v>1.5</v>
      </c>
      <c r="BC19" s="590">
        <v>1.38E-08</v>
      </c>
      <c r="BD19" s="589">
        <f t="shared" si="10"/>
        <v>1988.3351007423119</v>
      </c>
      <c r="BE19" s="299">
        <v>95</v>
      </c>
      <c r="BF19" s="300">
        <v>5</v>
      </c>
      <c r="BG19" s="112" t="s">
        <v>1581</v>
      </c>
      <c r="BH19" s="541">
        <v>1000</v>
      </c>
      <c r="BI19" s="611"/>
      <c r="BJ19" s="696" t="s">
        <v>1476</v>
      </c>
      <c r="BK19" s="13" t="s">
        <v>1780</v>
      </c>
      <c r="BL19" s="303" t="s">
        <v>352</v>
      </c>
      <c r="BM19" s="86" t="s">
        <v>1337</v>
      </c>
      <c r="BN19" s="303" t="s">
        <v>104</v>
      </c>
      <c r="BO19" s="86"/>
      <c r="BP19" s="680" t="s">
        <v>323</v>
      </c>
      <c r="BQ19" s="13"/>
      <c r="BR19" s="680">
        <v>3400</v>
      </c>
      <c r="BS19" s="13">
        <v>19722</v>
      </c>
      <c r="BT19" s="604"/>
      <c r="BU19" s="601">
        <v>5.25</v>
      </c>
      <c r="BV19" s="601">
        <v>5</v>
      </c>
      <c r="BW19" s="1040">
        <f t="shared" si="5"/>
        <v>10250</v>
      </c>
      <c r="BX19" s="1040">
        <f>IF($F19&gt;0,$BW19*$D$208,"")</f>
        <v>13068.749999999998</v>
      </c>
      <c r="BY19" s="1040">
        <f>IF($F19&gt;1,$BX19*$D$209,"")</f>
        <v>16662.656249999996</v>
      </c>
      <c r="BZ19" s="1040">
        <f>IF($F19&gt;2,$BY19*$D$210,"")</f>
        <v>21244.886718749993</v>
      </c>
      <c r="CA19" s="1040">
        <f>IF($F19&gt;3,$BZ19*$D$211,"")</f>
        <v>27087.23056640624</v>
      </c>
      <c r="CB19" s="1040">
        <f>IF($F19&gt;4,$CA19*$D$212,"")</f>
        <v>34536.21897216795</v>
      </c>
      <c r="CC19" s="1040">
        <f>IF($F19&gt;5,$CB19*$D$213,"")</f>
        <v>44033.679189514136</v>
      </c>
      <c r="CD19" s="1040">
        <f>IF($F19&gt;6,$CC19*$D$214,"")</f>
      </c>
      <c r="CE19" s="485" t="s">
        <v>1066</v>
      </c>
      <c r="CF19" s="850" t="s">
        <v>514</v>
      </c>
      <c r="CG19" s="439" t="s">
        <v>311</v>
      </c>
      <c r="CH19" s="305">
        <v>1523044240</v>
      </c>
      <c r="CI19" s="305">
        <f t="shared" si="6"/>
        <v>456913272</v>
      </c>
      <c r="CJ19" s="306">
        <f t="shared" si="7"/>
        <v>1066130968</v>
      </c>
      <c r="CK19" s="307" t="e">
        <f>CJ19-#REF!</f>
        <v>#REF!</v>
      </c>
      <c r="CL19" s="1041">
        <v>1523044240</v>
      </c>
      <c r="CM19" s="13">
        <f t="shared" si="11"/>
        <v>1</v>
      </c>
      <c r="CN19" s="13">
        <f t="shared" si="12"/>
        <v>3.3333333333333335</v>
      </c>
      <c r="CO19" s="1042"/>
      <c r="CP19" s="625">
        <f t="shared" si="13"/>
        <v>130</v>
      </c>
      <c r="CQ19" s="623">
        <f t="shared" si="14"/>
        <v>110</v>
      </c>
      <c r="CR19" s="624" t="str">
        <f t="shared" si="15"/>
        <v>=</v>
      </c>
      <c r="CS19" s="634">
        <f t="shared" si="16"/>
        <v>85</v>
      </c>
      <c r="CT19" s="591">
        <f t="shared" si="8"/>
        <v>1025000000</v>
      </c>
      <c r="CU19" s="591">
        <f t="shared" si="9"/>
        <v>106.25</v>
      </c>
      <c r="CV19" s="592">
        <v>150000</v>
      </c>
      <c r="CW19" s="1042"/>
      <c r="CX19" s="1042"/>
      <c r="CY19" s="1042"/>
      <c r="CZ19" s="1042"/>
      <c r="DA19" s="54">
        <v>1.6875</v>
      </c>
      <c r="DB19" s="54">
        <v>6.25</v>
      </c>
      <c r="DC19" s="649">
        <f t="shared" si="17"/>
        <v>51.25</v>
      </c>
    </row>
    <row r="20" spans="1:107" ht="12.75">
      <c r="A20" s="933" t="s">
        <v>1060</v>
      </c>
      <c r="B20" s="934" t="s">
        <v>458</v>
      </c>
      <c r="C20" s="799" t="s">
        <v>827</v>
      </c>
      <c r="D20" s="935">
        <v>82</v>
      </c>
      <c r="E20" s="936" t="s">
        <v>1512</v>
      </c>
      <c r="F20" s="937">
        <v>7</v>
      </c>
      <c r="G20" s="938">
        <v>4</v>
      </c>
      <c r="H20" s="939">
        <v>7</v>
      </c>
      <c r="I20" s="940">
        <v>0</v>
      </c>
      <c r="J20" s="941">
        <v>4</v>
      </c>
      <c r="K20" s="281">
        <v>2</v>
      </c>
      <c r="L20" s="942">
        <v>500</v>
      </c>
      <c r="M20" s="943">
        <v>13500</v>
      </c>
      <c r="N20" s="944">
        <v>400</v>
      </c>
      <c r="O20" s="945">
        <v>75</v>
      </c>
      <c r="P20" s="946">
        <v>75</v>
      </c>
      <c r="Q20" s="947">
        <v>7300</v>
      </c>
      <c r="R20" s="948">
        <v>1125</v>
      </c>
      <c r="S20" s="949">
        <f t="shared" si="0"/>
        <v>6162.030106093594</v>
      </c>
      <c r="T20" s="950">
        <v>105200</v>
      </c>
      <c r="U20" s="951">
        <v>495000</v>
      </c>
      <c r="V20" s="952">
        <v>50000</v>
      </c>
      <c r="W20" s="953">
        <v>0.11</v>
      </c>
      <c r="X20" s="954">
        <v>8200</v>
      </c>
      <c r="Y20" s="955">
        <v>50</v>
      </c>
      <c r="Z20" s="956">
        <v>40</v>
      </c>
      <c r="AA20" s="956">
        <v>34.375</v>
      </c>
      <c r="AB20" s="957">
        <v>35</v>
      </c>
      <c r="AC20" s="958">
        <v>6800</v>
      </c>
      <c r="AD20" s="291">
        <v>2272</v>
      </c>
      <c r="AE20" s="959">
        <f>AC20/AD20</f>
        <v>2.992957746478873</v>
      </c>
      <c r="AF20" s="960">
        <v>0</v>
      </c>
      <c r="AG20" s="961">
        <v>62.5</v>
      </c>
      <c r="AH20" s="961">
        <v>47.5</v>
      </c>
      <c r="AI20" s="962">
        <v>20</v>
      </c>
      <c r="AJ20" s="963">
        <f t="shared" si="2"/>
        <v>22300</v>
      </c>
      <c r="AK20" s="294" t="str">
        <f t="shared" si="18"/>
        <v>A</v>
      </c>
      <c r="AL20" s="964">
        <v>5625</v>
      </c>
      <c r="AM20" s="965">
        <v>923.9</v>
      </c>
      <c r="AN20" s="966">
        <f>AL20/AM20</f>
        <v>6.088321246888191</v>
      </c>
      <c r="AO20" s="967">
        <v>81</v>
      </c>
      <c r="AP20" s="968" t="s">
        <v>466</v>
      </c>
      <c r="AQ20" s="969">
        <v>81</v>
      </c>
      <c r="AR20" s="970">
        <v>12</v>
      </c>
      <c r="AS20" s="971">
        <v>0</v>
      </c>
      <c r="AT20" s="971">
        <v>0</v>
      </c>
      <c r="AU20" s="972">
        <v>0</v>
      </c>
      <c r="AV20" s="973">
        <v>500</v>
      </c>
      <c r="AW20" s="974">
        <v>105</v>
      </c>
      <c r="AX20" s="970">
        <v>0</v>
      </c>
      <c r="AY20" s="971">
        <v>0</v>
      </c>
      <c r="AZ20" s="971">
        <v>0</v>
      </c>
      <c r="BA20" s="975">
        <v>0</v>
      </c>
      <c r="BB20" s="976">
        <v>3</v>
      </c>
      <c r="BC20" s="977"/>
      <c r="BD20" s="978" t="e">
        <f>(AL20*1.25*(1-0.1*5))/(T20*1000*BC20)</f>
        <v>#DIV/0!</v>
      </c>
      <c r="BE20" s="979"/>
      <c r="BF20" s="980"/>
      <c r="BG20" s="981"/>
      <c r="BH20" s="982"/>
      <c r="BI20" s="983"/>
      <c r="BJ20" s="984" t="s">
        <v>1401</v>
      </c>
      <c r="BK20" s="985" t="s">
        <v>136</v>
      </c>
      <c r="BL20" s="302" t="s">
        <v>656</v>
      </c>
      <c r="BM20" s="986" t="s">
        <v>1185</v>
      </c>
      <c r="BN20" s="302" t="s">
        <v>1079</v>
      </c>
      <c r="BO20" s="986"/>
      <c r="BP20" s="1027" t="s">
        <v>1060</v>
      </c>
      <c r="BQ20" s="987"/>
      <c r="BR20" s="988">
        <v>500</v>
      </c>
      <c r="BS20" s="985">
        <v>28659</v>
      </c>
      <c r="BT20" s="989"/>
      <c r="BU20" s="990">
        <v>10</v>
      </c>
      <c r="BV20" s="990">
        <v>3</v>
      </c>
      <c r="BW20" s="1029">
        <f t="shared" si="5"/>
        <v>1125</v>
      </c>
      <c r="BX20" s="1029">
        <f>IF($F20&gt;0,$BW20*$D$208,"")</f>
        <v>1434.375</v>
      </c>
      <c r="BY20" s="1029">
        <f>IF($F20&gt;1,$BX20*$D$209,"")</f>
        <v>1828.8281249999998</v>
      </c>
      <c r="BZ20" s="1029">
        <f>IF($F20&gt;2,$BY20*$D$210,"")</f>
        <v>2331.7558593749995</v>
      </c>
      <c r="CA20" s="1029">
        <f>IF($F20&gt;3,$BZ20*$D$211,"")</f>
        <v>2972.9887207031243</v>
      </c>
      <c r="CB20" s="1029">
        <f>IF($F20&gt;4,$CA20*$D$212,"")</f>
        <v>3790.560618896483</v>
      </c>
      <c r="CC20" s="1029">
        <f>IF($F20&gt;5,$CB20*$D$213,"")</f>
        <v>4832.9647890930155</v>
      </c>
      <c r="CD20" s="1029">
        <f>IF($F20&gt;6,$CC20*$D$214,"")</f>
        <v>6162.030106093594</v>
      </c>
      <c r="CE20" s="1030" t="s">
        <v>1400</v>
      </c>
      <c r="CF20" s="1031" t="s">
        <v>182</v>
      </c>
      <c r="CG20" s="1032"/>
      <c r="CH20" s="1033"/>
      <c r="CI20" s="1033">
        <f t="shared" si="6"/>
        <v>0</v>
      </c>
      <c r="CJ20" s="1034">
        <f>CH20-CI20</f>
        <v>0</v>
      </c>
      <c r="CK20" s="1035" t="e">
        <f>CJ20-#REF!</f>
        <v>#REF!</v>
      </c>
      <c r="CL20" s="1036"/>
      <c r="CM20" s="985" t="e">
        <f t="shared" si="11"/>
        <v>#DIV/0!</v>
      </c>
      <c r="CN20" s="985" t="e">
        <f t="shared" si="12"/>
        <v>#DIV/0!</v>
      </c>
      <c r="CO20" s="1036"/>
      <c r="CP20" s="619">
        <f t="shared" si="13"/>
        <v>159.375</v>
      </c>
      <c r="CQ20" s="620">
        <f t="shared" si="14"/>
        <v>130</v>
      </c>
      <c r="CR20" s="621" t="str">
        <f t="shared" si="15"/>
        <v>A</v>
      </c>
      <c r="CS20" s="1037">
        <f t="shared" si="16"/>
        <v>105</v>
      </c>
      <c r="CT20" s="1038">
        <f t="shared" si="8"/>
        <v>105200000</v>
      </c>
      <c r="CU20" s="1038">
        <f t="shared" si="9"/>
        <v>131.25</v>
      </c>
      <c r="CV20" s="1043">
        <v>150000</v>
      </c>
      <c r="CW20" s="1036"/>
      <c r="CX20" s="1036"/>
      <c r="CY20" s="1036"/>
      <c r="CZ20" s="1036"/>
      <c r="DA20" s="1036">
        <v>1.6875</v>
      </c>
      <c r="DB20" s="1036">
        <v>6.25</v>
      </c>
      <c r="DC20" s="1039">
        <f t="shared" si="17"/>
        <v>11.572</v>
      </c>
    </row>
    <row r="21" spans="1:107" ht="12.75">
      <c r="A21" s="24" t="s">
        <v>1022</v>
      </c>
      <c r="B21" s="117" t="s">
        <v>12</v>
      </c>
      <c r="C21" s="636" t="s">
        <v>865</v>
      </c>
      <c r="D21" s="337">
        <v>82</v>
      </c>
      <c r="E21" s="338" t="s">
        <v>1512</v>
      </c>
      <c r="F21" s="15">
        <v>4</v>
      </c>
      <c r="G21" s="18">
        <v>7</v>
      </c>
      <c r="H21" s="17">
        <v>7</v>
      </c>
      <c r="I21" s="740">
        <v>4</v>
      </c>
      <c r="J21" s="324">
        <v>0</v>
      </c>
      <c r="K21" s="188">
        <v>2</v>
      </c>
      <c r="L21" s="867">
        <v>715</v>
      </c>
      <c r="M21" s="883">
        <v>6500</v>
      </c>
      <c r="N21" s="325">
        <v>400</v>
      </c>
      <c r="O21" s="455">
        <v>75</v>
      </c>
      <c r="P21" s="531">
        <v>75</v>
      </c>
      <c r="Q21" s="340">
        <v>7300</v>
      </c>
      <c r="R21" s="341">
        <v>1225</v>
      </c>
      <c r="S21" s="326">
        <f t="shared" si="0"/>
        <v>3237.2543847656243</v>
      </c>
      <c r="T21" s="342">
        <v>105200</v>
      </c>
      <c r="U21" s="343">
        <v>486000</v>
      </c>
      <c r="V21" s="344">
        <v>50000</v>
      </c>
      <c r="W21" s="289">
        <v>0.105</v>
      </c>
      <c r="X21" s="340">
        <v>7300</v>
      </c>
      <c r="Y21" s="43">
        <v>50</v>
      </c>
      <c r="Z21" s="44">
        <v>10</v>
      </c>
      <c r="AA21" s="44">
        <v>34.375</v>
      </c>
      <c r="AB21" s="49">
        <v>58.75</v>
      </c>
      <c r="AC21" s="914">
        <v>8200</v>
      </c>
      <c r="AD21" s="312">
        <v>2272</v>
      </c>
      <c r="AE21" s="292">
        <f>AC21/AD21</f>
        <v>3.609154929577465</v>
      </c>
      <c r="AF21" s="43">
        <v>0</v>
      </c>
      <c r="AG21" s="44">
        <v>50</v>
      </c>
      <c r="AH21" s="44">
        <v>47.5</v>
      </c>
      <c r="AI21" s="45">
        <v>40</v>
      </c>
      <c r="AJ21" s="5">
        <f t="shared" si="2"/>
        <v>22800</v>
      </c>
      <c r="AK21" s="103" t="str">
        <f t="shared" si="18"/>
        <v>S</v>
      </c>
      <c r="AL21" s="862">
        <v>5625</v>
      </c>
      <c r="AM21" s="458">
        <v>923.9</v>
      </c>
      <c r="AN21" s="295">
        <f>AL21/AM21</f>
        <v>6.088321246888191</v>
      </c>
      <c r="AO21" s="145">
        <v>90</v>
      </c>
      <c r="AP21" s="85" t="s">
        <v>466</v>
      </c>
      <c r="AQ21" s="297">
        <v>73</v>
      </c>
      <c r="AR21" s="33">
        <v>0</v>
      </c>
      <c r="AS21" s="34">
        <v>14</v>
      </c>
      <c r="AT21" s="34">
        <v>0</v>
      </c>
      <c r="AU21" s="73">
        <v>0</v>
      </c>
      <c r="AV21" s="39">
        <v>575</v>
      </c>
      <c r="AW21" s="143">
        <v>105</v>
      </c>
      <c r="AX21" s="33">
        <v>0</v>
      </c>
      <c r="AY21" s="34">
        <v>0</v>
      </c>
      <c r="AZ21" s="34">
        <v>0</v>
      </c>
      <c r="BA21" s="84">
        <v>0</v>
      </c>
      <c r="BB21" s="586">
        <v>3</v>
      </c>
      <c r="BC21" s="590"/>
      <c r="BD21" s="588" t="e">
        <f t="shared" si="10"/>
        <v>#DIV/0!</v>
      </c>
      <c r="BE21" s="299"/>
      <c r="BF21" s="300"/>
      <c r="BG21" s="112"/>
      <c r="BH21" s="541"/>
      <c r="BI21" s="301"/>
      <c r="BJ21" s="346" t="s">
        <v>1401</v>
      </c>
      <c r="BK21" s="13" t="s">
        <v>1671</v>
      </c>
      <c r="BL21" s="303" t="s">
        <v>825</v>
      </c>
      <c r="BM21" s="86" t="s">
        <v>286</v>
      </c>
      <c r="BN21" s="303" t="s">
        <v>1229</v>
      </c>
      <c r="BO21" s="86"/>
      <c r="BP21" s="1" t="s">
        <v>1022</v>
      </c>
      <c r="BQ21" t="s">
        <v>1808</v>
      </c>
      <c r="BR21" s="680">
        <v>500</v>
      </c>
      <c r="BS21" s="21">
        <v>28710</v>
      </c>
      <c r="BT21" s="605"/>
      <c r="BU21" s="600">
        <v>8</v>
      </c>
      <c r="BV21" s="600">
        <v>3</v>
      </c>
      <c r="BW21" s="329">
        <f t="shared" si="5"/>
        <v>1225</v>
      </c>
      <c r="BX21" s="329">
        <f>IF($F21&gt;0,$BW21*$D$208,"")</f>
        <v>1561.875</v>
      </c>
      <c r="BY21" s="329">
        <f>IF($F21&gt;1,$BX21*$D$209,"")</f>
        <v>1991.3906249999998</v>
      </c>
      <c r="BZ21" s="329">
        <f>IF($F21&gt;2,$BY21*$D$210,"")</f>
        <v>2539.0230468749996</v>
      </c>
      <c r="CA21" s="329">
        <f>IF($F21&gt;3,$BZ21*$D$211,"")</f>
        <v>3237.2543847656243</v>
      </c>
      <c r="CB21" s="329">
        <f>IF($F21&gt;4,$CA21*$D$212,"")</f>
      </c>
      <c r="CC21" s="329">
        <f>IF($F21&gt;5,$CB21*$D$213,"")</f>
      </c>
      <c r="CD21" s="329">
        <f>IF($F21&gt;6,$CC21*$D$214,"")</f>
      </c>
      <c r="CE21" s="485" t="s">
        <v>1402</v>
      </c>
      <c r="CF21" s="851" t="s">
        <v>182</v>
      </c>
      <c r="CG21" s="440"/>
      <c r="CH21" s="305"/>
      <c r="CI21" s="305">
        <f t="shared" si="6"/>
        <v>0</v>
      </c>
      <c r="CJ21" s="306">
        <f>CH21-CI21</f>
        <v>0</v>
      </c>
      <c r="CK21" s="307" t="e">
        <f>CJ21-#REF!</f>
        <v>#REF!</v>
      </c>
      <c r="CL21" s="54"/>
      <c r="CM21" s="21" t="e">
        <f t="shared" si="11"/>
        <v>#DIV/0!</v>
      </c>
      <c r="CN21" s="21" t="e">
        <f t="shared" si="12"/>
        <v>#DIV/0!</v>
      </c>
      <c r="CO21" s="54"/>
      <c r="CP21" s="622">
        <f t="shared" si="13"/>
        <v>153.125</v>
      </c>
      <c r="CQ21" s="623">
        <f t="shared" si="14"/>
        <v>137.5</v>
      </c>
      <c r="CR21" s="624" t="str">
        <f t="shared" si="15"/>
        <v>S</v>
      </c>
      <c r="CS21" s="634">
        <f t="shared" si="16"/>
        <v>105</v>
      </c>
      <c r="CT21" s="591">
        <f t="shared" si="8"/>
        <v>105200000</v>
      </c>
      <c r="CU21" s="591">
        <f t="shared" si="9"/>
        <v>131.25</v>
      </c>
      <c r="CV21" s="592">
        <v>150000</v>
      </c>
      <c r="CW21" s="54"/>
      <c r="CX21" s="54"/>
      <c r="CY21" s="54"/>
      <c r="CZ21" s="54"/>
      <c r="DA21" s="54">
        <v>1.6875</v>
      </c>
      <c r="DB21" s="54">
        <v>6.25</v>
      </c>
      <c r="DC21" s="649">
        <f t="shared" si="17"/>
        <v>11.046</v>
      </c>
    </row>
    <row r="22" spans="1:107" ht="12.75">
      <c r="A22" s="24" t="s">
        <v>1792</v>
      </c>
      <c r="B22" s="117" t="s">
        <v>145</v>
      </c>
      <c r="C22" s="315" t="s">
        <v>1042</v>
      </c>
      <c r="D22" s="337">
        <v>82</v>
      </c>
      <c r="E22" s="338" t="s">
        <v>1512</v>
      </c>
      <c r="F22" s="15">
        <v>7</v>
      </c>
      <c r="G22" s="739">
        <v>4</v>
      </c>
      <c r="H22" s="17">
        <v>7</v>
      </c>
      <c r="I22" s="323">
        <v>0</v>
      </c>
      <c r="J22" s="737">
        <v>4</v>
      </c>
      <c r="K22" s="188">
        <v>2</v>
      </c>
      <c r="L22" s="867">
        <v>550</v>
      </c>
      <c r="M22" s="889">
        <v>12000</v>
      </c>
      <c r="N22" s="325">
        <v>400</v>
      </c>
      <c r="O22" s="455">
        <v>125</v>
      </c>
      <c r="P22" s="531">
        <v>75</v>
      </c>
      <c r="Q22" s="340">
        <v>8200</v>
      </c>
      <c r="R22" s="341">
        <v>1275</v>
      </c>
      <c r="S22" s="326">
        <f t="shared" si="0"/>
        <v>6983.634120239409</v>
      </c>
      <c r="T22" s="342">
        <v>101800</v>
      </c>
      <c r="U22" s="343">
        <v>513000</v>
      </c>
      <c r="V22" s="344">
        <v>50000</v>
      </c>
      <c r="W22" s="289">
        <v>0.105</v>
      </c>
      <c r="X22" s="913">
        <v>7300</v>
      </c>
      <c r="Y22" s="43">
        <v>50</v>
      </c>
      <c r="Z22" s="44">
        <v>10</v>
      </c>
      <c r="AA22" s="44">
        <v>51.25</v>
      </c>
      <c r="AB22" s="49">
        <v>43.125</v>
      </c>
      <c r="AC22" s="345">
        <v>6800</v>
      </c>
      <c r="AD22" s="312">
        <v>2272</v>
      </c>
      <c r="AE22" s="292">
        <f>AC22/AD22</f>
        <v>2.992957746478873</v>
      </c>
      <c r="AF22" s="43">
        <v>0</v>
      </c>
      <c r="AG22" s="44">
        <v>50</v>
      </c>
      <c r="AH22" s="44">
        <v>55</v>
      </c>
      <c r="AI22" s="45">
        <v>30</v>
      </c>
      <c r="AJ22" s="5">
        <f t="shared" si="2"/>
        <v>22300</v>
      </c>
      <c r="AK22" s="331" t="s">
        <v>1393</v>
      </c>
      <c r="AL22" s="862">
        <v>5625</v>
      </c>
      <c r="AM22" s="458">
        <v>923.9</v>
      </c>
      <c r="AN22" s="295">
        <f>AL22/AM22</f>
        <v>6.088321246888191</v>
      </c>
      <c r="AO22" s="145">
        <v>87</v>
      </c>
      <c r="AP22" s="85" t="s">
        <v>466</v>
      </c>
      <c r="AQ22" s="297">
        <v>81</v>
      </c>
      <c r="AR22" s="33">
        <v>0</v>
      </c>
      <c r="AS22" s="34">
        <v>0</v>
      </c>
      <c r="AT22" s="34">
        <v>13</v>
      </c>
      <c r="AU22" s="73">
        <v>0</v>
      </c>
      <c r="AV22" s="39">
        <v>500</v>
      </c>
      <c r="AW22" s="143">
        <v>115</v>
      </c>
      <c r="AX22" s="33">
        <v>0</v>
      </c>
      <c r="AY22" s="34">
        <v>0</v>
      </c>
      <c r="AZ22" s="34">
        <v>0</v>
      </c>
      <c r="BA22" s="84">
        <v>0</v>
      </c>
      <c r="BB22" s="586">
        <v>3</v>
      </c>
      <c r="BC22" s="590"/>
      <c r="BD22" s="588" t="e">
        <f t="shared" si="10"/>
        <v>#DIV/0!</v>
      </c>
      <c r="BE22" s="299"/>
      <c r="BF22" s="300"/>
      <c r="BG22" s="112"/>
      <c r="BH22" s="541"/>
      <c r="BI22" s="301"/>
      <c r="BJ22" s="346" t="s">
        <v>1401</v>
      </c>
      <c r="BK22" s="13" t="s">
        <v>136</v>
      </c>
      <c r="BL22" s="303" t="s">
        <v>657</v>
      </c>
      <c r="BM22" s="86" t="s">
        <v>733</v>
      </c>
      <c r="BN22" s="303" t="s">
        <v>1081</v>
      </c>
      <c r="BO22" s="86"/>
      <c r="BP22" s="1" t="s">
        <v>1598</v>
      </c>
      <c r="BR22" s="680">
        <v>500</v>
      </c>
      <c r="BS22" s="21">
        <v>28661</v>
      </c>
      <c r="BT22" s="605"/>
      <c r="BU22" s="600">
        <v>10</v>
      </c>
      <c r="BV22" s="600">
        <v>3</v>
      </c>
      <c r="BW22" s="329">
        <f t="shared" si="5"/>
        <v>1275</v>
      </c>
      <c r="BX22" s="329">
        <f>IF($F22&gt;0,$BW22*$D$208,"")</f>
        <v>1625.625</v>
      </c>
      <c r="BY22" s="329">
        <f>IF($F22&gt;1,$BX22*$D$209,"")</f>
        <v>2072.671875</v>
      </c>
      <c r="BZ22" s="329">
        <f>IF($F22&gt;2,$BY22*$D$210,"")</f>
        <v>2642.656640625</v>
      </c>
      <c r="CA22" s="329">
        <f>IF($F22&gt;3,$BZ22*$D$211,"")</f>
        <v>3369.387216796875</v>
      </c>
      <c r="CB22" s="329">
        <f>IF($F22&gt;4,$CA22*$D$212,"")</f>
        <v>4295.968701416015</v>
      </c>
      <c r="CC22" s="329">
        <f>IF($F22&gt;5,$CB22*$D$213,"")</f>
        <v>5477.360094305419</v>
      </c>
      <c r="CD22" s="329">
        <f>IF($F22&gt;6,$CC22*$D$214,"")</f>
        <v>6983.634120239409</v>
      </c>
      <c r="CE22" s="485" t="s">
        <v>1403</v>
      </c>
      <c r="CF22" s="851" t="s">
        <v>182</v>
      </c>
      <c r="CG22" s="440"/>
      <c r="CH22" s="305"/>
      <c r="CI22" s="305">
        <f t="shared" si="6"/>
        <v>0</v>
      </c>
      <c r="CJ22" s="306">
        <f>CH22-CI22</f>
        <v>0</v>
      </c>
      <c r="CK22" s="307" t="e">
        <f>CJ22-#REF!</f>
        <v>#REF!</v>
      </c>
      <c r="CL22" s="54"/>
      <c r="CM22" s="21" t="e">
        <f t="shared" si="11"/>
        <v>#DIV/0!</v>
      </c>
      <c r="CN22" s="21" t="e">
        <f t="shared" si="12"/>
        <v>#DIV/0!</v>
      </c>
      <c r="CO22" s="54"/>
      <c r="CP22" s="625">
        <f t="shared" si="13"/>
        <v>154.375</v>
      </c>
      <c r="CQ22" s="626">
        <f t="shared" si="14"/>
        <v>135</v>
      </c>
      <c r="CR22" s="624" t="str">
        <f t="shared" si="15"/>
        <v>A</v>
      </c>
      <c r="CS22" s="634">
        <f t="shared" si="16"/>
        <v>115</v>
      </c>
      <c r="CT22" s="591">
        <f t="shared" si="8"/>
        <v>101800000</v>
      </c>
      <c r="CU22" s="591">
        <f t="shared" si="9"/>
        <v>143.75</v>
      </c>
      <c r="CV22" s="592">
        <v>150000</v>
      </c>
      <c r="CW22" s="54"/>
      <c r="CX22" s="54"/>
      <c r="CY22" s="54"/>
      <c r="CZ22" s="54"/>
      <c r="DA22" s="54">
        <v>1.6875</v>
      </c>
      <c r="DB22" s="54">
        <v>6.25</v>
      </c>
      <c r="DC22" s="649">
        <f t="shared" si="17"/>
        <v>10.689</v>
      </c>
    </row>
    <row r="23" spans="1:107" ht="12.75">
      <c r="A23" s="24" t="s">
        <v>1379</v>
      </c>
      <c r="B23" s="117" t="s">
        <v>1424</v>
      </c>
      <c r="C23" s="319" t="s">
        <v>99</v>
      </c>
      <c r="D23" s="337">
        <v>82</v>
      </c>
      <c r="E23" s="338" t="s">
        <v>1512</v>
      </c>
      <c r="F23" s="15">
        <v>5</v>
      </c>
      <c r="G23" s="18">
        <v>6</v>
      </c>
      <c r="H23" s="17">
        <v>7</v>
      </c>
      <c r="I23" s="323">
        <v>0</v>
      </c>
      <c r="J23" s="186">
        <v>4</v>
      </c>
      <c r="K23" s="188">
        <v>2</v>
      </c>
      <c r="L23" s="867">
        <v>625</v>
      </c>
      <c r="M23" s="883">
        <v>7900</v>
      </c>
      <c r="N23" s="325">
        <v>400</v>
      </c>
      <c r="O23" s="455">
        <v>75</v>
      </c>
      <c r="P23" s="531">
        <v>75</v>
      </c>
      <c r="Q23" s="340">
        <v>7300</v>
      </c>
      <c r="R23" s="341">
        <v>1150</v>
      </c>
      <c r="S23" s="326">
        <f t="shared" si="0"/>
        <v>3874.795299316405</v>
      </c>
      <c r="T23" s="342">
        <v>106100</v>
      </c>
      <c r="U23" s="343">
        <v>450000</v>
      </c>
      <c r="V23" s="344">
        <v>50000</v>
      </c>
      <c r="W23" s="289">
        <v>0.1</v>
      </c>
      <c r="X23" s="340">
        <v>6800</v>
      </c>
      <c r="Y23" s="43">
        <v>60</v>
      </c>
      <c r="Z23" s="44">
        <v>10</v>
      </c>
      <c r="AA23" s="44">
        <v>25</v>
      </c>
      <c r="AB23" s="49">
        <v>43.125</v>
      </c>
      <c r="AC23" s="914">
        <v>7600</v>
      </c>
      <c r="AD23" s="312">
        <v>2272</v>
      </c>
      <c r="AE23" s="292">
        <f>AC23/AD23</f>
        <v>3.3450704225352115</v>
      </c>
      <c r="AF23" s="43">
        <v>25</v>
      </c>
      <c r="AG23" s="44">
        <v>50</v>
      </c>
      <c r="AH23" s="44">
        <v>40</v>
      </c>
      <c r="AI23" s="45">
        <v>30</v>
      </c>
      <c r="AJ23" s="5">
        <f t="shared" si="2"/>
        <v>21700</v>
      </c>
      <c r="AK23" s="103" t="str">
        <f t="shared" si="18"/>
        <v>S</v>
      </c>
      <c r="AL23" s="862">
        <v>5625</v>
      </c>
      <c r="AM23" s="458">
        <v>923.9</v>
      </c>
      <c r="AN23" s="295">
        <f>AL23/AM23</f>
        <v>6.088321246888191</v>
      </c>
      <c r="AO23" s="145">
        <v>75</v>
      </c>
      <c r="AP23" s="85" t="s">
        <v>466</v>
      </c>
      <c r="AQ23" s="297">
        <v>85</v>
      </c>
      <c r="AR23" s="33">
        <v>0</v>
      </c>
      <c r="AS23" s="34">
        <v>0</v>
      </c>
      <c r="AT23" s="34">
        <v>0</v>
      </c>
      <c r="AU23" s="73">
        <v>11</v>
      </c>
      <c r="AV23" s="39">
        <v>425</v>
      </c>
      <c r="AW23" s="143">
        <v>130</v>
      </c>
      <c r="AX23" s="33">
        <v>0</v>
      </c>
      <c r="AY23" s="34">
        <v>0</v>
      </c>
      <c r="AZ23" s="34">
        <v>0</v>
      </c>
      <c r="BA23" s="84">
        <v>0</v>
      </c>
      <c r="BB23" s="586">
        <v>3</v>
      </c>
      <c r="BC23" s="590"/>
      <c r="BD23" s="588" t="e">
        <f t="shared" si="10"/>
        <v>#DIV/0!</v>
      </c>
      <c r="BE23" s="299"/>
      <c r="BF23" s="300"/>
      <c r="BG23" s="112"/>
      <c r="BH23" s="541"/>
      <c r="BI23" s="301"/>
      <c r="BJ23" s="346" t="s">
        <v>1401</v>
      </c>
      <c r="BK23" s="13" t="s">
        <v>136</v>
      </c>
      <c r="BL23" s="303" t="s">
        <v>324</v>
      </c>
      <c r="BM23" s="86" t="s">
        <v>489</v>
      </c>
      <c r="BN23" s="303" t="s">
        <v>1228</v>
      </c>
      <c r="BO23" s="86"/>
      <c r="BP23" s="1" t="s">
        <v>1380</v>
      </c>
      <c r="BR23" s="680">
        <v>500</v>
      </c>
      <c r="BS23" s="21">
        <v>28665</v>
      </c>
      <c r="BT23" s="605"/>
      <c r="BU23" s="600">
        <v>10</v>
      </c>
      <c r="BV23" s="600">
        <v>3</v>
      </c>
      <c r="BW23" s="329">
        <f t="shared" si="5"/>
        <v>1150</v>
      </c>
      <c r="BX23" s="329">
        <f>IF($F23&gt;0,$BW23*$D$208,"")</f>
        <v>1466.25</v>
      </c>
      <c r="BY23" s="329">
        <f>IF($F23&gt;1,$BX23*$D$209,"")</f>
        <v>1869.4687499999998</v>
      </c>
      <c r="BZ23" s="329">
        <f>IF($F23&gt;2,$BY23*$D$210,"")</f>
        <v>2383.5726562499995</v>
      </c>
      <c r="CA23" s="329">
        <f>IF($F23&gt;3,$BZ23*$D$211,"")</f>
        <v>3039.055136718749</v>
      </c>
      <c r="CB23" s="329">
        <f>IF($F23&gt;4,$CA23*$D$212,"")</f>
        <v>3874.795299316405</v>
      </c>
      <c r="CC23" s="329">
        <f>IF($F23&gt;5,$CB23*$D$213,"")</f>
      </c>
      <c r="CD23" s="329">
        <f>IF($F23&gt;6,$CC23*$D$214,"")</f>
      </c>
      <c r="CE23" s="485" t="s">
        <v>1404</v>
      </c>
      <c r="CF23" s="851" t="s">
        <v>182</v>
      </c>
      <c r="CG23" s="440"/>
      <c r="CH23" s="305"/>
      <c r="CI23" s="305">
        <f t="shared" si="6"/>
        <v>0</v>
      </c>
      <c r="CJ23" s="306">
        <f>CH23-CI23</f>
        <v>0</v>
      </c>
      <c r="CK23" s="307" t="e">
        <f>CJ23-#REF!</f>
        <v>#REF!</v>
      </c>
      <c r="CL23" s="54"/>
      <c r="CM23" s="21" t="e">
        <f t="shared" si="11"/>
        <v>#DIV/0!</v>
      </c>
      <c r="CN23" s="21" t="e">
        <f t="shared" si="12"/>
        <v>#DIV/0!</v>
      </c>
      <c r="CO23" s="54"/>
      <c r="CP23" s="626">
        <f t="shared" si="13"/>
        <v>138.125</v>
      </c>
      <c r="CQ23" s="627">
        <f t="shared" si="14"/>
        <v>145</v>
      </c>
      <c r="CR23" s="624" t="str">
        <f t="shared" si="15"/>
        <v>S</v>
      </c>
      <c r="CS23" s="634">
        <f t="shared" si="16"/>
        <v>130</v>
      </c>
      <c r="CT23" s="591">
        <f t="shared" si="8"/>
        <v>106100000</v>
      </c>
      <c r="CU23" s="591">
        <f t="shared" si="9"/>
        <v>162.5</v>
      </c>
      <c r="CV23" s="592">
        <v>150000</v>
      </c>
      <c r="CW23" s="54"/>
      <c r="CX23" s="54"/>
      <c r="CY23" s="54"/>
      <c r="CZ23" s="54"/>
      <c r="DA23" s="54">
        <v>1.6875</v>
      </c>
      <c r="DB23" s="54">
        <v>6.25</v>
      </c>
      <c r="DC23" s="649">
        <f t="shared" si="17"/>
        <v>10.61</v>
      </c>
    </row>
    <row r="24" spans="1:107" ht="12.75">
      <c r="A24" s="24" t="s">
        <v>1018</v>
      </c>
      <c r="B24" s="117" t="s">
        <v>1046</v>
      </c>
      <c r="C24" s="308" t="s">
        <v>827</v>
      </c>
      <c r="D24" s="337">
        <v>81</v>
      </c>
      <c r="E24" s="338" t="s">
        <v>1017</v>
      </c>
      <c r="F24" s="15">
        <v>7</v>
      </c>
      <c r="G24" s="18">
        <v>4</v>
      </c>
      <c r="H24" s="17">
        <v>8</v>
      </c>
      <c r="I24" s="323">
        <v>0</v>
      </c>
      <c r="J24" s="738">
        <v>6</v>
      </c>
      <c r="K24" s="188">
        <v>2</v>
      </c>
      <c r="L24" s="867">
        <v>505</v>
      </c>
      <c r="M24" s="889">
        <v>17000</v>
      </c>
      <c r="N24" s="325">
        <v>400</v>
      </c>
      <c r="O24" s="455">
        <v>125</v>
      </c>
      <c r="P24" s="531">
        <v>125</v>
      </c>
      <c r="Q24" s="340">
        <v>4968</v>
      </c>
      <c r="R24" s="341">
        <v>600</v>
      </c>
      <c r="S24" s="326">
        <f t="shared" si="0"/>
        <v>3286.416056583251</v>
      </c>
      <c r="T24" s="342">
        <v>150000</v>
      </c>
      <c r="U24" s="343">
        <v>495000</v>
      </c>
      <c r="V24" s="344">
        <v>50000</v>
      </c>
      <c r="W24" s="289">
        <v>0.06</v>
      </c>
      <c r="X24" s="340">
        <v>5312</v>
      </c>
      <c r="Y24" s="43">
        <v>50</v>
      </c>
      <c r="Z24" s="44">
        <v>28</v>
      </c>
      <c r="AA24" s="44">
        <v>28.75</v>
      </c>
      <c r="AB24" s="49">
        <v>35</v>
      </c>
      <c r="AC24" s="345">
        <v>4375</v>
      </c>
      <c r="AD24" s="312">
        <v>3125</v>
      </c>
      <c r="AE24" s="292">
        <f t="shared" si="1"/>
        <v>1.4</v>
      </c>
      <c r="AF24" s="40">
        <v>0</v>
      </c>
      <c r="AG24" s="41">
        <v>55</v>
      </c>
      <c r="AH24" s="41">
        <v>43</v>
      </c>
      <c r="AI24" s="42">
        <v>20</v>
      </c>
      <c r="AJ24" s="5">
        <f t="shared" si="2"/>
        <v>14655</v>
      </c>
      <c r="AK24" s="103" t="str">
        <f t="shared" si="18"/>
        <v>A</v>
      </c>
      <c r="AL24" s="862">
        <v>5312</v>
      </c>
      <c r="AM24" s="458">
        <v>1087.5</v>
      </c>
      <c r="AN24" s="295">
        <f t="shared" si="4"/>
        <v>4.884597701149425</v>
      </c>
      <c r="AO24" s="146">
        <v>52</v>
      </c>
      <c r="AP24" s="179" t="s">
        <v>462</v>
      </c>
      <c r="AQ24" s="297">
        <v>132</v>
      </c>
      <c r="AR24" s="33">
        <v>17</v>
      </c>
      <c r="AS24" s="34">
        <v>0</v>
      </c>
      <c r="AT24" s="34">
        <v>0</v>
      </c>
      <c r="AU24" s="73">
        <v>0</v>
      </c>
      <c r="AV24" s="39">
        <v>333</v>
      </c>
      <c r="AW24" s="916">
        <v>117</v>
      </c>
      <c r="AX24" s="33">
        <v>0</v>
      </c>
      <c r="AY24" s="34">
        <v>0</v>
      </c>
      <c r="AZ24" s="34">
        <v>0</v>
      </c>
      <c r="BA24" s="84">
        <v>0</v>
      </c>
      <c r="BB24" s="586">
        <v>3</v>
      </c>
      <c r="BC24" s="590"/>
      <c r="BD24" s="588" t="e">
        <f t="shared" si="10"/>
        <v>#DIV/0!</v>
      </c>
      <c r="BE24" s="299">
        <v>95</v>
      </c>
      <c r="BF24" s="300">
        <v>2</v>
      </c>
      <c r="BG24" s="112" t="s">
        <v>991</v>
      </c>
      <c r="BH24" s="541">
        <v>400</v>
      </c>
      <c r="BI24" s="301"/>
      <c r="BJ24" s="346" t="s">
        <v>1401</v>
      </c>
      <c r="BK24" s="13" t="s">
        <v>600</v>
      </c>
      <c r="BL24" s="303" t="s">
        <v>1382</v>
      </c>
      <c r="BM24" s="86" t="s">
        <v>215</v>
      </c>
      <c r="BN24" s="303" t="s">
        <v>1175</v>
      </c>
      <c r="BO24" s="86"/>
      <c r="BP24" s="1" t="s">
        <v>506</v>
      </c>
      <c r="BR24" s="680">
        <v>500</v>
      </c>
      <c r="BS24" s="21">
        <v>22428</v>
      </c>
      <c r="BT24" s="605"/>
      <c r="BU24" s="600">
        <v>7.5</v>
      </c>
      <c r="BV24" s="600">
        <v>5</v>
      </c>
      <c r="BW24" s="329">
        <f t="shared" si="5"/>
        <v>600</v>
      </c>
      <c r="BX24" s="329">
        <f>IF($F24&gt;0,$BW24*$D$208,"")</f>
        <v>765</v>
      </c>
      <c r="BY24" s="329">
        <f>IF($F24&gt;1,$BX24*$D$209,"")</f>
        <v>975.3749999999999</v>
      </c>
      <c r="BZ24" s="329">
        <f>IF($F24&gt;2,$BY24*$D$210,"")</f>
        <v>1243.6031249999999</v>
      </c>
      <c r="CA24" s="329">
        <f>IF($F24&gt;3,$BZ24*$D$211,"")</f>
        <v>1585.5939843749998</v>
      </c>
      <c r="CB24" s="329">
        <f>IF($F24&gt;4,$CA24*$D$212,"")</f>
        <v>2021.6323300781246</v>
      </c>
      <c r="CC24" s="329">
        <f>IF($F24&gt;5,$CB24*$D$213,"")</f>
        <v>2577.5812208496086</v>
      </c>
      <c r="CD24" s="329">
        <f>IF($F24&gt;6,$CC24*$D$214,"")</f>
        <v>3286.416056583251</v>
      </c>
      <c r="CE24" s="485" t="s">
        <v>1405</v>
      </c>
      <c r="CF24" s="851" t="s">
        <v>182</v>
      </c>
      <c r="CG24" s="440"/>
      <c r="CH24" s="305"/>
      <c r="CI24" s="305">
        <f t="shared" si="6"/>
        <v>0</v>
      </c>
      <c r="CJ24" s="306">
        <f t="shared" si="7"/>
        <v>0</v>
      </c>
      <c r="CK24" s="307" t="e">
        <f>CJ24-#REF!</f>
        <v>#REF!</v>
      </c>
      <c r="CL24" s="54"/>
      <c r="CM24" s="21" t="e">
        <f t="shared" si="11"/>
        <v>#DIV/0!</v>
      </c>
      <c r="CN24" s="21" t="e">
        <f t="shared" si="12"/>
        <v>#DIV/0!</v>
      </c>
      <c r="CO24" s="54"/>
      <c r="CP24" s="625">
        <f t="shared" si="13"/>
        <v>141.75</v>
      </c>
      <c r="CQ24" s="626">
        <f t="shared" si="14"/>
        <v>118</v>
      </c>
      <c r="CR24" s="624" t="str">
        <f t="shared" si="15"/>
        <v>A</v>
      </c>
      <c r="CS24" s="634">
        <f t="shared" si="16"/>
        <v>117</v>
      </c>
      <c r="CT24" s="591">
        <f t="shared" si="8"/>
        <v>150000000</v>
      </c>
      <c r="CU24" s="591">
        <f t="shared" si="9"/>
        <v>146.25</v>
      </c>
      <c r="CV24" s="592">
        <v>150000</v>
      </c>
      <c r="CW24" s="54"/>
      <c r="CX24" s="54"/>
      <c r="CY24" s="54"/>
      <c r="CZ24" s="54"/>
      <c r="DA24" s="54">
        <v>1.6875</v>
      </c>
      <c r="DB24" s="54">
        <v>6.25</v>
      </c>
      <c r="DC24" s="649">
        <f t="shared" si="17"/>
        <v>9</v>
      </c>
    </row>
    <row r="25" spans="1:107" ht="12.75">
      <c r="A25" s="24" t="s">
        <v>1019</v>
      </c>
      <c r="B25" s="117" t="s">
        <v>1235</v>
      </c>
      <c r="C25" s="636" t="s">
        <v>865</v>
      </c>
      <c r="D25" s="337">
        <v>81</v>
      </c>
      <c r="E25" s="338" t="s">
        <v>1017</v>
      </c>
      <c r="F25" s="15">
        <v>4</v>
      </c>
      <c r="G25" s="739">
        <v>8</v>
      </c>
      <c r="H25" s="17">
        <v>7</v>
      </c>
      <c r="I25" s="740">
        <v>5</v>
      </c>
      <c r="J25" s="324">
        <v>0</v>
      </c>
      <c r="K25" s="188">
        <v>2</v>
      </c>
      <c r="L25" s="867">
        <v>760</v>
      </c>
      <c r="M25" s="883">
        <v>8800</v>
      </c>
      <c r="N25" s="325">
        <v>400</v>
      </c>
      <c r="O25" s="455">
        <v>75</v>
      </c>
      <c r="P25" s="531">
        <v>75</v>
      </c>
      <c r="Q25" s="340">
        <v>4375</v>
      </c>
      <c r="R25" s="341">
        <v>550</v>
      </c>
      <c r="S25" s="326">
        <f t="shared" si="0"/>
        <v>1453.4611523437497</v>
      </c>
      <c r="T25" s="342">
        <v>151100</v>
      </c>
      <c r="U25" s="343">
        <v>468000</v>
      </c>
      <c r="V25" s="344">
        <v>50000</v>
      </c>
      <c r="W25" s="289">
        <v>0.055</v>
      </c>
      <c r="X25" s="340">
        <v>4375</v>
      </c>
      <c r="Y25" s="43">
        <v>50</v>
      </c>
      <c r="Z25" s="44">
        <v>10</v>
      </c>
      <c r="AA25" s="44">
        <v>25</v>
      </c>
      <c r="AB25" s="49">
        <v>55</v>
      </c>
      <c r="AC25" s="345">
        <v>5312</v>
      </c>
      <c r="AD25" s="312">
        <v>3125</v>
      </c>
      <c r="AE25" s="292">
        <f t="shared" si="1"/>
        <v>1.69984</v>
      </c>
      <c r="AF25" s="43">
        <v>0</v>
      </c>
      <c r="AG25" s="44">
        <v>50</v>
      </c>
      <c r="AH25" s="44">
        <v>40</v>
      </c>
      <c r="AI25" s="45">
        <v>30</v>
      </c>
      <c r="AJ25" s="5">
        <f t="shared" si="2"/>
        <v>14062</v>
      </c>
      <c r="AK25" s="103" t="str">
        <f t="shared" si="18"/>
        <v>S</v>
      </c>
      <c r="AL25" s="862">
        <v>5312</v>
      </c>
      <c r="AM25" s="458">
        <v>1087.5</v>
      </c>
      <c r="AN25" s="295">
        <f t="shared" si="4"/>
        <v>4.884597701149425</v>
      </c>
      <c r="AO25" s="145">
        <v>72</v>
      </c>
      <c r="AP25" s="85" t="s">
        <v>462</v>
      </c>
      <c r="AQ25" s="297">
        <v>90</v>
      </c>
      <c r="AR25" s="33">
        <v>0</v>
      </c>
      <c r="AS25" s="34">
        <v>24</v>
      </c>
      <c r="AT25" s="34">
        <v>0</v>
      </c>
      <c r="AU25" s="73">
        <v>0</v>
      </c>
      <c r="AV25" s="39">
        <v>432</v>
      </c>
      <c r="AW25" s="530">
        <v>106</v>
      </c>
      <c r="AX25" s="33">
        <v>0</v>
      </c>
      <c r="AY25" s="34">
        <v>0</v>
      </c>
      <c r="AZ25" s="34">
        <v>0</v>
      </c>
      <c r="BA25" s="84">
        <v>0</v>
      </c>
      <c r="BB25" s="586">
        <v>3</v>
      </c>
      <c r="BC25" s="590"/>
      <c r="BD25" s="588" t="e">
        <f t="shared" si="10"/>
        <v>#DIV/0!</v>
      </c>
      <c r="BE25" s="299">
        <v>95</v>
      </c>
      <c r="BF25" s="300">
        <v>2</v>
      </c>
      <c r="BG25" s="112" t="s">
        <v>696</v>
      </c>
      <c r="BH25" s="541">
        <v>400</v>
      </c>
      <c r="BI25" s="301"/>
      <c r="BJ25" s="346" t="s">
        <v>1401</v>
      </c>
      <c r="BK25" s="13" t="s">
        <v>1757</v>
      </c>
      <c r="BL25" s="303" t="s">
        <v>18</v>
      </c>
      <c r="BM25" s="86" t="s">
        <v>1187</v>
      </c>
      <c r="BN25" s="303" t="s">
        <v>1232</v>
      </c>
      <c r="BO25" s="86"/>
      <c r="BP25" s="1" t="s">
        <v>507</v>
      </c>
      <c r="BR25" s="680">
        <v>500</v>
      </c>
      <c r="BS25" s="21">
        <v>22436</v>
      </c>
      <c r="BT25" s="605"/>
      <c r="BU25" s="600">
        <v>6.25</v>
      </c>
      <c r="BV25" s="600">
        <v>3</v>
      </c>
      <c r="BW25" s="329">
        <f t="shared" si="5"/>
        <v>550</v>
      </c>
      <c r="BX25" s="329">
        <f>IF($F25&gt;0,$BW25*$D$208,"")</f>
        <v>701.25</v>
      </c>
      <c r="BY25" s="329">
        <f>IF($F25&gt;1,$BX25*$D$209,"")</f>
        <v>894.0937499999999</v>
      </c>
      <c r="BZ25" s="329">
        <f>IF($F25&gt;2,$BY25*$D$210,"")</f>
        <v>1139.9695312499998</v>
      </c>
      <c r="CA25" s="329">
        <f>IF($F25&gt;3,$BZ25*$D$211,"")</f>
        <v>1453.4611523437497</v>
      </c>
      <c r="CB25" s="329">
        <f>IF($F25&gt;4,$CA25*$D$212,"")</f>
      </c>
      <c r="CC25" s="329">
        <f>IF($F25&gt;5,$CB25*$D$213,"")</f>
      </c>
      <c r="CD25" s="329">
        <f>IF($F25&gt;6,$CC25*$D$214,"")</f>
      </c>
      <c r="CE25" s="485" t="s">
        <v>457</v>
      </c>
      <c r="CF25" s="851" t="s">
        <v>182</v>
      </c>
      <c r="CG25" s="440"/>
      <c r="CH25" s="305"/>
      <c r="CI25" s="305">
        <f t="shared" si="6"/>
        <v>0</v>
      </c>
      <c r="CJ25" s="306">
        <f t="shared" si="7"/>
        <v>0</v>
      </c>
      <c r="CK25" s="307" t="e">
        <f>CJ25-#REF!</f>
        <v>#REF!</v>
      </c>
      <c r="CL25" s="54"/>
      <c r="CM25" s="21" t="e">
        <f t="shared" si="11"/>
        <v>#DIV/0!</v>
      </c>
      <c r="CN25" s="21" t="e">
        <f t="shared" si="12"/>
        <v>#DIV/0!</v>
      </c>
      <c r="CO25" s="54"/>
      <c r="CP25" s="622">
        <f t="shared" si="13"/>
        <v>140</v>
      </c>
      <c r="CQ25" s="623">
        <f t="shared" si="14"/>
        <v>120</v>
      </c>
      <c r="CR25" s="624" t="str">
        <f t="shared" si="15"/>
        <v>S</v>
      </c>
      <c r="CS25" s="634">
        <f t="shared" si="16"/>
        <v>106</v>
      </c>
      <c r="CT25" s="591">
        <f t="shared" si="8"/>
        <v>151100000</v>
      </c>
      <c r="CU25" s="591">
        <f t="shared" si="9"/>
        <v>132.5</v>
      </c>
      <c r="CV25" s="592">
        <v>150000</v>
      </c>
      <c r="CW25" s="54"/>
      <c r="CX25" s="54"/>
      <c r="CY25" s="54"/>
      <c r="CZ25" s="54"/>
      <c r="DA25" s="54">
        <v>1.6875</v>
      </c>
      <c r="DB25" s="54">
        <v>6.25</v>
      </c>
      <c r="DC25" s="649">
        <f t="shared" si="17"/>
        <v>8.3105</v>
      </c>
    </row>
    <row r="26" spans="1:107" ht="12.75">
      <c r="A26" s="24" t="s">
        <v>1020</v>
      </c>
      <c r="B26" s="117" t="s">
        <v>103</v>
      </c>
      <c r="C26" s="315" t="s">
        <v>1042</v>
      </c>
      <c r="D26" s="337">
        <v>81</v>
      </c>
      <c r="E26" s="338" t="s">
        <v>1017</v>
      </c>
      <c r="F26" s="15">
        <v>6</v>
      </c>
      <c r="G26" s="18">
        <v>6</v>
      </c>
      <c r="H26" s="17">
        <v>7</v>
      </c>
      <c r="I26" s="323">
        <v>0</v>
      </c>
      <c r="J26" s="737">
        <v>4</v>
      </c>
      <c r="K26" s="188">
        <v>2</v>
      </c>
      <c r="L26" s="867">
        <v>600</v>
      </c>
      <c r="M26" s="883">
        <v>8800</v>
      </c>
      <c r="N26" s="325">
        <v>400</v>
      </c>
      <c r="O26" s="455">
        <v>400</v>
      </c>
      <c r="P26" s="743">
        <v>125</v>
      </c>
      <c r="Q26" s="340">
        <v>5312</v>
      </c>
      <c r="R26" s="341">
        <v>600</v>
      </c>
      <c r="S26" s="326">
        <f t="shared" si="0"/>
        <v>2577.5812208496086</v>
      </c>
      <c r="T26" s="342">
        <v>141700</v>
      </c>
      <c r="U26" s="343">
        <v>454000</v>
      </c>
      <c r="V26" s="344">
        <v>50000</v>
      </c>
      <c r="W26" s="746">
        <v>0.06</v>
      </c>
      <c r="X26" s="340">
        <v>4968</v>
      </c>
      <c r="Y26" s="43">
        <v>50</v>
      </c>
      <c r="Z26" s="44">
        <v>10</v>
      </c>
      <c r="AA26" s="44">
        <v>45</v>
      </c>
      <c r="AB26" s="49">
        <v>35</v>
      </c>
      <c r="AC26" s="345">
        <v>4375</v>
      </c>
      <c r="AD26" s="312">
        <v>3125</v>
      </c>
      <c r="AE26" s="292">
        <f t="shared" si="1"/>
        <v>1.4</v>
      </c>
      <c r="AF26" s="43">
        <v>0</v>
      </c>
      <c r="AG26" s="44">
        <v>50</v>
      </c>
      <c r="AH26" s="44">
        <v>50</v>
      </c>
      <c r="AI26" s="45">
        <v>20</v>
      </c>
      <c r="AJ26" s="5">
        <f t="shared" si="2"/>
        <v>14655</v>
      </c>
      <c r="AK26" s="103" t="str">
        <f t="shared" si="18"/>
        <v>A</v>
      </c>
      <c r="AL26" s="862">
        <v>5000</v>
      </c>
      <c r="AM26" s="458">
        <v>1087.5</v>
      </c>
      <c r="AN26" s="295">
        <f t="shared" si="4"/>
        <v>4.597701149425287</v>
      </c>
      <c r="AO26" s="145">
        <v>56</v>
      </c>
      <c r="AP26" s="85" t="s">
        <v>462</v>
      </c>
      <c r="AQ26" s="297">
        <v>108</v>
      </c>
      <c r="AR26" s="33">
        <v>0</v>
      </c>
      <c r="AS26" s="34">
        <v>0</v>
      </c>
      <c r="AT26" s="34">
        <v>22</v>
      </c>
      <c r="AU26" s="73">
        <v>0</v>
      </c>
      <c r="AV26" s="39">
        <v>378</v>
      </c>
      <c r="AW26" s="530">
        <v>112</v>
      </c>
      <c r="AX26" s="33">
        <v>0</v>
      </c>
      <c r="AY26" s="34">
        <v>0</v>
      </c>
      <c r="AZ26" s="34">
        <v>0</v>
      </c>
      <c r="BA26" s="84">
        <v>0</v>
      </c>
      <c r="BB26" s="586">
        <v>3</v>
      </c>
      <c r="BC26" s="590"/>
      <c r="BD26" s="588" t="e">
        <f t="shared" si="10"/>
        <v>#DIV/0!</v>
      </c>
      <c r="BE26" s="299">
        <v>95</v>
      </c>
      <c r="BF26" s="300">
        <v>2</v>
      </c>
      <c r="BG26" s="112" t="s">
        <v>1027</v>
      </c>
      <c r="BH26" s="541">
        <v>400</v>
      </c>
      <c r="BI26" s="301"/>
      <c r="BJ26" s="346" t="s">
        <v>1401</v>
      </c>
      <c r="BK26" s="13" t="s">
        <v>1147</v>
      </c>
      <c r="BL26" s="303" t="s">
        <v>300</v>
      </c>
      <c r="BM26" s="86" t="s">
        <v>586</v>
      </c>
      <c r="BN26" s="303" t="s">
        <v>1082</v>
      </c>
      <c r="BO26" s="86"/>
      <c r="BP26" s="1" t="s">
        <v>508</v>
      </c>
      <c r="BR26" s="680">
        <v>500</v>
      </c>
      <c r="BS26" s="21">
        <v>22430</v>
      </c>
      <c r="BT26" s="605"/>
      <c r="BU26" s="600">
        <v>5</v>
      </c>
      <c r="BV26" s="600">
        <v>7.5</v>
      </c>
      <c r="BW26" s="329">
        <f t="shared" si="5"/>
        <v>600</v>
      </c>
      <c r="BX26" s="329">
        <f>IF($F26&gt;0,$BW26*$D$208,"")</f>
        <v>765</v>
      </c>
      <c r="BY26" s="329">
        <f>IF($F26&gt;1,$BX26*$D$209,"")</f>
        <v>975.3749999999999</v>
      </c>
      <c r="BZ26" s="329">
        <f>IF($F26&gt;2,$BY26*$D$210,"")</f>
        <v>1243.6031249999999</v>
      </c>
      <c r="CA26" s="329">
        <f>IF($F26&gt;3,$BZ26*$D$211,"")</f>
        <v>1585.5939843749998</v>
      </c>
      <c r="CB26" s="329">
        <f>IF($F26&gt;4,$CA26*$D$212,"")</f>
        <v>2021.6323300781246</v>
      </c>
      <c r="CC26" s="329">
        <f>IF($F26&gt;5,$CB26*$D$213,"")</f>
        <v>2577.5812208496086</v>
      </c>
      <c r="CD26" s="329">
        <f>IF($F26&gt;6,$CC26*$D$214,"")</f>
      </c>
      <c r="CE26" s="485" t="s">
        <v>405</v>
      </c>
      <c r="CF26" s="851" t="s">
        <v>182</v>
      </c>
      <c r="CG26" s="440"/>
      <c r="CH26" s="305"/>
      <c r="CI26" s="305">
        <f t="shared" si="6"/>
        <v>0</v>
      </c>
      <c r="CJ26" s="306">
        <f t="shared" si="7"/>
        <v>0</v>
      </c>
      <c r="CK26" s="307" t="e">
        <f>CJ26-#REF!</f>
        <v>#REF!</v>
      </c>
      <c r="CL26" s="54"/>
      <c r="CM26" s="21" t="e">
        <f t="shared" si="11"/>
        <v>#DIV/0!</v>
      </c>
      <c r="CN26" s="21" t="e">
        <f t="shared" si="12"/>
        <v>#DIV/0!</v>
      </c>
      <c r="CO26" s="54"/>
      <c r="CP26" s="625">
        <f t="shared" si="13"/>
        <v>140</v>
      </c>
      <c r="CQ26" s="626">
        <f t="shared" si="14"/>
        <v>120</v>
      </c>
      <c r="CR26" s="624" t="str">
        <f t="shared" si="15"/>
        <v>A</v>
      </c>
      <c r="CS26" s="634">
        <f t="shared" si="16"/>
        <v>112</v>
      </c>
      <c r="CT26" s="591">
        <f t="shared" si="8"/>
        <v>141700000</v>
      </c>
      <c r="CU26" s="591">
        <f t="shared" si="9"/>
        <v>140</v>
      </c>
      <c r="CV26" s="592">
        <v>150000</v>
      </c>
      <c r="CW26" s="54"/>
      <c r="CX26" s="54"/>
      <c r="CY26" s="54"/>
      <c r="CZ26" s="54"/>
      <c r="DA26" s="54">
        <v>1.6875</v>
      </c>
      <c r="DB26" s="54">
        <v>6.25</v>
      </c>
      <c r="DC26" s="649">
        <f t="shared" si="17"/>
        <v>8.502</v>
      </c>
    </row>
    <row r="27" spans="1:107" ht="12.75">
      <c r="A27" s="24" t="s">
        <v>1021</v>
      </c>
      <c r="B27" s="117" t="s">
        <v>905</v>
      </c>
      <c r="C27" s="319" t="s">
        <v>99</v>
      </c>
      <c r="D27" s="337">
        <v>81</v>
      </c>
      <c r="E27" s="338" t="s">
        <v>1017</v>
      </c>
      <c r="F27" s="15">
        <v>6</v>
      </c>
      <c r="G27" s="18">
        <v>5</v>
      </c>
      <c r="H27" s="17">
        <v>8</v>
      </c>
      <c r="I27" s="323">
        <v>0</v>
      </c>
      <c r="J27" s="186">
        <v>5</v>
      </c>
      <c r="K27" s="188">
        <v>2</v>
      </c>
      <c r="L27" s="867">
        <v>510</v>
      </c>
      <c r="M27" s="889">
        <v>12750</v>
      </c>
      <c r="N27" s="325">
        <v>400</v>
      </c>
      <c r="O27" s="454">
        <v>175</v>
      </c>
      <c r="P27" s="531">
        <v>125</v>
      </c>
      <c r="Q27" s="340">
        <v>4968</v>
      </c>
      <c r="R27" s="341">
        <v>625</v>
      </c>
      <c r="S27" s="326">
        <f t="shared" si="0"/>
        <v>2684.9804383850087</v>
      </c>
      <c r="T27" s="342">
        <v>148800</v>
      </c>
      <c r="U27" s="343">
        <v>414000</v>
      </c>
      <c r="V27" s="344">
        <v>50000</v>
      </c>
      <c r="W27" s="289">
        <v>0.055</v>
      </c>
      <c r="X27" s="340">
        <v>4375</v>
      </c>
      <c r="Y27" s="43">
        <v>64</v>
      </c>
      <c r="Z27" s="44">
        <v>10</v>
      </c>
      <c r="AA27" s="44">
        <v>25</v>
      </c>
      <c r="AB27" s="49">
        <v>38.25</v>
      </c>
      <c r="AC27" s="345">
        <v>4968</v>
      </c>
      <c r="AD27" s="312">
        <v>3125</v>
      </c>
      <c r="AE27" s="292">
        <f t="shared" si="1"/>
        <v>1.58976</v>
      </c>
      <c r="AF27" s="43">
        <v>10</v>
      </c>
      <c r="AG27" s="44">
        <v>50</v>
      </c>
      <c r="AH27" s="44">
        <v>40</v>
      </c>
      <c r="AI27" s="45">
        <v>24</v>
      </c>
      <c r="AJ27" s="5">
        <f t="shared" si="2"/>
        <v>14311</v>
      </c>
      <c r="AK27" s="103" t="str">
        <f t="shared" si="18"/>
        <v>S</v>
      </c>
      <c r="AL27" s="862">
        <v>5000</v>
      </c>
      <c r="AM27" s="458">
        <v>1087.5</v>
      </c>
      <c r="AN27" s="295">
        <f t="shared" si="4"/>
        <v>4.597701149425287</v>
      </c>
      <c r="AO27" s="145">
        <v>48</v>
      </c>
      <c r="AP27" s="85" t="s">
        <v>462</v>
      </c>
      <c r="AQ27" s="297">
        <v>138</v>
      </c>
      <c r="AR27" s="33">
        <v>0</v>
      </c>
      <c r="AS27" s="34">
        <v>0</v>
      </c>
      <c r="AT27" s="34">
        <v>0</v>
      </c>
      <c r="AU27" s="73">
        <v>18</v>
      </c>
      <c r="AV27" s="39">
        <v>288</v>
      </c>
      <c r="AW27" s="901">
        <v>146</v>
      </c>
      <c r="AX27" s="33">
        <v>0</v>
      </c>
      <c r="AY27" s="34">
        <v>0</v>
      </c>
      <c r="AZ27" s="34">
        <v>0</v>
      </c>
      <c r="BA27" s="84">
        <v>0</v>
      </c>
      <c r="BB27" s="586">
        <v>3</v>
      </c>
      <c r="BC27" s="590"/>
      <c r="BD27" s="588" t="e">
        <f t="shared" si="10"/>
        <v>#DIV/0!</v>
      </c>
      <c r="BE27" s="299">
        <v>95</v>
      </c>
      <c r="BF27" s="300">
        <v>2</v>
      </c>
      <c r="BG27" s="112" t="s">
        <v>1581</v>
      </c>
      <c r="BH27" s="541">
        <v>400</v>
      </c>
      <c r="BI27" s="301"/>
      <c r="BJ27" s="346" t="s">
        <v>1401</v>
      </c>
      <c r="BK27" s="36" t="s">
        <v>600</v>
      </c>
      <c r="BL27" s="303" t="s">
        <v>1709</v>
      </c>
      <c r="BM27" s="86" t="s">
        <v>1702</v>
      </c>
      <c r="BN27" s="303" t="s">
        <v>1230</v>
      </c>
      <c r="BO27" s="86"/>
      <c r="BP27" s="1" t="s">
        <v>509</v>
      </c>
      <c r="BR27" s="680">
        <v>500</v>
      </c>
      <c r="BS27" s="21">
        <v>22440</v>
      </c>
      <c r="BT27" s="605"/>
      <c r="BU27" s="600">
        <v>7.5</v>
      </c>
      <c r="BV27" s="600">
        <v>5</v>
      </c>
      <c r="BW27" s="329">
        <f t="shared" si="5"/>
        <v>625</v>
      </c>
      <c r="BX27" s="329">
        <f>IF($F27&gt;0,$BW27*$D$208,"")</f>
        <v>796.875</v>
      </c>
      <c r="BY27" s="329">
        <f>IF($F27&gt;1,$BX27*$D$209,"")</f>
        <v>1016.0156249999999</v>
      </c>
      <c r="BZ27" s="329">
        <f>IF($F27&gt;2,$BY27*$D$210,"")</f>
        <v>1295.4199218749998</v>
      </c>
      <c r="CA27" s="329">
        <f>IF($F27&gt;3,$BZ27*$D$211,"")</f>
        <v>1651.6604003906245</v>
      </c>
      <c r="CB27" s="329">
        <f>IF($F27&gt;4,$CA27*$D$212,"")</f>
        <v>2105.867010498046</v>
      </c>
      <c r="CC27" s="329">
        <f>IF($F27&gt;5,$CB27*$D$213,"")</f>
        <v>2684.9804383850087</v>
      </c>
      <c r="CD27" s="329">
        <f>IF($F27&gt;6,$CC27*$D$214,"")</f>
      </c>
      <c r="CE27" s="485" t="s">
        <v>1088</v>
      </c>
      <c r="CF27" s="851" t="s">
        <v>182</v>
      </c>
      <c r="CG27" s="440"/>
      <c r="CH27" s="305"/>
      <c r="CI27" s="305">
        <f t="shared" si="6"/>
        <v>0</v>
      </c>
      <c r="CJ27" s="306">
        <f t="shared" si="7"/>
        <v>0</v>
      </c>
      <c r="CK27" s="307" t="e">
        <f>CJ27-#REF!</f>
        <v>#REF!</v>
      </c>
      <c r="CL27" s="54"/>
      <c r="CM27" s="21" t="e">
        <f t="shared" si="11"/>
        <v>#DIV/0!</v>
      </c>
      <c r="CN27" s="21" t="e">
        <f t="shared" si="12"/>
        <v>#DIV/0!</v>
      </c>
      <c r="CO27" s="54"/>
      <c r="CP27" s="622">
        <f t="shared" si="13"/>
        <v>137.25</v>
      </c>
      <c r="CQ27" s="623">
        <f t="shared" si="14"/>
        <v>124</v>
      </c>
      <c r="CR27" s="624" t="str">
        <f t="shared" si="15"/>
        <v>S</v>
      </c>
      <c r="CS27" s="634">
        <f t="shared" si="16"/>
        <v>146</v>
      </c>
      <c r="CT27" s="591">
        <f t="shared" si="8"/>
        <v>148800000</v>
      </c>
      <c r="CU27" s="591">
        <f t="shared" si="9"/>
        <v>182.5</v>
      </c>
      <c r="CV27" s="592">
        <v>150000</v>
      </c>
      <c r="CW27" s="54"/>
      <c r="CX27" s="54"/>
      <c r="CY27" s="54"/>
      <c r="CZ27" s="54"/>
      <c r="DA27" s="54">
        <v>1.6875</v>
      </c>
      <c r="DB27" s="54">
        <v>6.25</v>
      </c>
      <c r="DC27" s="649">
        <f t="shared" si="17"/>
        <v>8.184</v>
      </c>
    </row>
    <row r="28" spans="1:107" ht="12.75">
      <c r="A28" s="24" t="s">
        <v>135</v>
      </c>
      <c r="B28" s="69" t="s">
        <v>135</v>
      </c>
      <c r="C28" s="308" t="s">
        <v>827</v>
      </c>
      <c r="D28" s="347">
        <v>80</v>
      </c>
      <c r="E28" s="348" t="s">
        <v>571</v>
      </c>
      <c r="F28" s="15">
        <v>7</v>
      </c>
      <c r="G28" s="18">
        <v>4</v>
      </c>
      <c r="H28" s="17">
        <v>8</v>
      </c>
      <c r="I28" s="16">
        <v>1</v>
      </c>
      <c r="J28" s="186">
        <v>8</v>
      </c>
      <c r="K28" s="188">
        <v>3</v>
      </c>
      <c r="L28" s="868">
        <v>560</v>
      </c>
      <c r="M28" s="888">
        <v>21000</v>
      </c>
      <c r="N28" s="132">
        <v>400</v>
      </c>
      <c r="O28" s="454">
        <v>75</v>
      </c>
      <c r="P28" s="531">
        <v>75</v>
      </c>
      <c r="Q28" s="340">
        <v>8000</v>
      </c>
      <c r="R28" s="98">
        <v>525</v>
      </c>
      <c r="S28" s="326">
        <f t="shared" si="0"/>
        <v>2875.6140495103436</v>
      </c>
      <c r="T28" s="342">
        <v>103200</v>
      </c>
      <c r="U28" s="343">
        <v>495000</v>
      </c>
      <c r="V28" s="344">
        <v>50000</v>
      </c>
      <c r="W28" s="289">
        <v>0.12</v>
      </c>
      <c r="X28" s="340">
        <v>8500</v>
      </c>
      <c r="Y28" s="729">
        <v>50</v>
      </c>
      <c r="Z28" s="730">
        <v>20</v>
      </c>
      <c r="AA28" s="730">
        <v>25</v>
      </c>
      <c r="AB28" s="731">
        <v>35</v>
      </c>
      <c r="AC28" s="345">
        <v>7000</v>
      </c>
      <c r="AD28" s="312">
        <v>2500</v>
      </c>
      <c r="AE28" s="292">
        <f t="shared" si="1"/>
        <v>2.8</v>
      </c>
      <c r="AF28" s="43">
        <v>0</v>
      </c>
      <c r="AG28" s="44">
        <v>50</v>
      </c>
      <c r="AH28" s="44">
        <v>40</v>
      </c>
      <c r="AI28" s="45">
        <v>20</v>
      </c>
      <c r="AJ28" s="5">
        <f t="shared" si="2"/>
        <v>23500</v>
      </c>
      <c r="AK28" s="103" t="str">
        <f t="shared" si="18"/>
        <v>A</v>
      </c>
      <c r="AL28" s="862">
        <v>6375</v>
      </c>
      <c r="AM28" s="459">
        <v>1250</v>
      </c>
      <c r="AN28" s="295">
        <f>AL28/AM28</f>
        <v>5.1</v>
      </c>
      <c r="AO28" s="145">
        <v>80</v>
      </c>
      <c r="AP28" s="85" t="s">
        <v>462</v>
      </c>
      <c r="AQ28" s="297">
        <v>85</v>
      </c>
      <c r="AR28" s="33">
        <v>22</v>
      </c>
      <c r="AS28" s="34">
        <v>0</v>
      </c>
      <c r="AT28" s="34">
        <v>0</v>
      </c>
      <c r="AU28" s="73">
        <v>0</v>
      </c>
      <c r="AV28" s="39">
        <v>470</v>
      </c>
      <c r="AW28" s="143">
        <v>89</v>
      </c>
      <c r="AX28" s="33"/>
      <c r="AY28" s="34">
        <v>0</v>
      </c>
      <c r="AZ28" s="34">
        <v>0</v>
      </c>
      <c r="BA28" s="84">
        <v>0</v>
      </c>
      <c r="BB28" s="586">
        <v>3</v>
      </c>
      <c r="BC28" s="590">
        <v>1.38E-07</v>
      </c>
      <c r="BD28" s="588">
        <f t="shared" si="10"/>
        <v>279.77018031681837</v>
      </c>
      <c r="BE28" s="299"/>
      <c r="BF28" s="300"/>
      <c r="BG28" s="112"/>
      <c r="BH28" s="541"/>
      <c r="BI28" s="301">
        <v>3</v>
      </c>
      <c r="BJ28" s="696" t="s">
        <v>1476</v>
      </c>
      <c r="BK28" s="13" t="s">
        <v>136</v>
      </c>
      <c r="BL28" s="303" t="s">
        <v>346</v>
      </c>
      <c r="BM28" s="86" t="s">
        <v>456</v>
      </c>
      <c r="BN28" s="303" t="s">
        <v>104</v>
      </c>
      <c r="BO28" s="86"/>
      <c r="BP28" s="1" t="s">
        <v>1788</v>
      </c>
      <c r="BR28" s="680">
        <v>800</v>
      </c>
      <c r="BS28" s="21">
        <v>24692</v>
      </c>
      <c r="BT28" s="606"/>
      <c r="BU28" s="601">
        <v>10</v>
      </c>
      <c r="BV28" s="601">
        <v>3</v>
      </c>
      <c r="BW28" s="329">
        <f t="shared" si="5"/>
        <v>525</v>
      </c>
      <c r="BX28" s="329">
        <f>IF($F28&gt;0,$BW28*$D$208,"")</f>
        <v>669.375</v>
      </c>
      <c r="BY28" s="329">
        <f>IF($F28&gt;1,$BX28*$D$209,"")</f>
        <v>853.4531249999999</v>
      </c>
      <c r="BZ28" s="329">
        <f>IF($F28&gt;2,$BY28*$D$210,"")</f>
        <v>1088.1527343749997</v>
      </c>
      <c r="CA28" s="329">
        <f>IF($F28&gt;3,$BZ28*$D$211,"")</f>
        <v>1387.3947363281245</v>
      </c>
      <c r="CB28" s="329">
        <f>IF($F28&gt;4,$CA28*$D$212,"")</f>
        <v>1768.9282888183586</v>
      </c>
      <c r="CC28" s="329">
        <f>IF($F28&gt;5,$CB28*$D$213,"")</f>
        <v>2255.383568243407</v>
      </c>
      <c r="CD28" s="329">
        <f>IF($F28&gt;6,$CC28*$D$214,"")</f>
        <v>2875.6140495103436</v>
      </c>
      <c r="CE28" s="485" t="s">
        <v>1191</v>
      </c>
      <c r="CF28" s="852" t="s">
        <v>516</v>
      </c>
      <c r="CG28" s="440" t="s">
        <v>312</v>
      </c>
      <c r="CH28" s="305">
        <v>180000000</v>
      </c>
      <c r="CI28" s="305">
        <f t="shared" si="6"/>
        <v>54000000</v>
      </c>
      <c r="CJ28" s="306">
        <f t="shared" si="7"/>
        <v>126000000</v>
      </c>
      <c r="CK28" s="307" t="e">
        <f>CJ28-#REF!</f>
        <v>#REF!</v>
      </c>
      <c r="CL28" s="592">
        <v>180000000</v>
      </c>
      <c r="CM28" s="21">
        <f t="shared" si="11"/>
        <v>1</v>
      </c>
      <c r="CN28" s="21">
        <f t="shared" si="12"/>
        <v>3.3333333333333335</v>
      </c>
      <c r="CO28" s="54"/>
      <c r="CP28" s="625">
        <f t="shared" si="13"/>
        <v>130</v>
      </c>
      <c r="CQ28" s="626">
        <f t="shared" si="14"/>
        <v>110</v>
      </c>
      <c r="CR28" s="624" t="str">
        <f t="shared" si="15"/>
        <v>A</v>
      </c>
      <c r="CS28" s="634">
        <f t="shared" si="16"/>
        <v>89</v>
      </c>
      <c r="CT28" s="591">
        <f t="shared" si="8"/>
        <v>103200000</v>
      </c>
      <c r="CU28" s="591">
        <f t="shared" si="9"/>
        <v>111.25</v>
      </c>
      <c r="CV28" s="592">
        <v>150000</v>
      </c>
      <c r="CW28" s="54"/>
      <c r="CX28" s="54"/>
      <c r="CY28" s="54"/>
      <c r="CZ28" s="54"/>
      <c r="DA28" s="54">
        <v>1.6875</v>
      </c>
      <c r="DB28" s="54">
        <v>6.25</v>
      </c>
      <c r="DC28" s="649">
        <f t="shared" si="17"/>
        <v>12.384</v>
      </c>
    </row>
    <row r="29" spans="1:107" ht="12.75">
      <c r="A29" s="24" t="s">
        <v>458</v>
      </c>
      <c r="B29" s="69" t="s">
        <v>458</v>
      </c>
      <c r="C29" s="308" t="s">
        <v>827</v>
      </c>
      <c r="D29" s="347">
        <v>80</v>
      </c>
      <c r="E29" s="348" t="s">
        <v>571</v>
      </c>
      <c r="F29" s="15">
        <v>7</v>
      </c>
      <c r="G29" s="18">
        <v>4</v>
      </c>
      <c r="H29" s="17">
        <v>8</v>
      </c>
      <c r="I29" s="16">
        <v>2</v>
      </c>
      <c r="J29" s="186">
        <v>8</v>
      </c>
      <c r="K29" s="188">
        <v>3</v>
      </c>
      <c r="L29" s="868">
        <v>505</v>
      </c>
      <c r="M29" s="888">
        <v>20500</v>
      </c>
      <c r="N29" s="132">
        <v>400</v>
      </c>
      <c r="O29" s="454">
        <v>75</v>
      </c>
      <c r="P29" s="531">
        <v>75</v>
      </c>
      <c r="Q29" s="340">
        <v>6641</v>
      </c>
      <c r="R29" s="98">
        <v>675</v>
      </c>
      <c r="S29" s="326">
        <f t="shared" si="0"/>
        <v>3697.218063656156</v>
      </c>
      <c r="T29" s="342">
        <v>97100</v>
      </c>
      <c r="U29" s="343">
        <v>517500</v>
      </c>
      <c r="V29" s="344">
        <v>50000</v>
      </c>
      <c r="W29" s="289">
        <v>0.12</v>
      </c>
      <c r="X29" s="340">
        <v>7500</v>
      </c>
      <c r="Y29" s="43">
        <v>50</v>
      </c>
      <c r="Z29" s="44">
        <v>20</v>
      </c>
      <c r="AA29" s="44">
        <v>25</v>
      </c>
      <c r="AB29" s="49">
        <v>35</v>
      </c>
      <c r="AC29" s="345">
        <v>6211</v>
      </c>
      <c r="AD29" s="312">
        <v>2500</v>
      </c>
      <c r="AE29" s="292">
        <f t="shared" si="1"/>
        <v>2.4844</v>
      </c>
      <c r="AF29" s="43">
        <v>0</v>
      </c>
      <c r="AG29" s="41">
        <v>50</v>
      </c>
      <c r="AH29" s="44">
        <v>40</v>
      </c>
      <c r="AI29" s="45">
        <v>20</v>
      </c>
      <c r="AJ29" s="5">
        <f t="shared" si="2"/>
        <v>20352</v>
      </c>
      <c r="AK29" s="103" t="str">
        <f t="shared" si="18"/>
        <v>A</v>
      </c>
      <c r="AL29" s="862">
        <v>7500</v>
      </c>
      <c r="AM29" s="459">
        <v>1154.88</v>
      </c>
      <c r="AN29" s="295">
        <f t="shared" si="4"/>
        <v>6.494181213632585</v>
      </c>
      <c r="AO29" s="145">
        <v>67</v>
      </c>
      <c r="AP29" s="85" t="s">
        <v>462</v>
      </c>
      <c r="AQ29" s="297">
        <v>95</v>
      </c>
      <c r="AR29" s="33">
        <v>20</v>
      </c>
      <c r="AS29" s="34">
        <v>0</v>
      </c>
      <c r="AT29" s="34">
        <v>0</v>
      </c>
      <c r="AU29" s="73">
        <v>0</v>
      </c>
      <c r="AV29" s="39">
        <v>400</v>
      </c>
      <c r="AW29" s="143">
        <v>94</v>
      </c>
      <c r="AX29" s="33">
        <v>8</v>
      </c>
      <c r="AY29" s="34">
        <v>0</v>
      </c>
      <c r="AZ29" s="34">
        <v>0</v>
      </c>
      <c r="BA29" s="84">
        <v>0</v>
      </c>
      <c r="BB29" s="586">
        <v>3</v>
      </c>
      <c r="BC29" s="590">
        <v>1.38E-07</v>
      </c>
      <c r="BD29" s="588">
        <f t="shared" si="10"/>
        <v>349.81865400976136</v>
      </c>
      <c r="BE29" s="299"/>
      <c r="BF29" s="300"/>
      <c r="BG29" s="112"/>
      <c r="BH29" s="541"/>
      <c r="BI29" s="301">
        <v>2</v>
      </c>
      <c r="BJ29" s="696" t="s">
        <v>1476</v>
      </c>
      <c r="BK29" s="13" t="s">
        <v>136</v>
      </c>
      <c r="BL29" s="303" t="s">
        <v>1452</v>
      </c>
      <c r="BM29" s="86" t="s">
        <v>404</v>
      </c>
      <c r="BN29" s="303" t="s">
        <v>104</v>
      </c>
      <c r="BO29" s="86"/>
      <c r="BP29" s="1" t="s">
        <v>458</v>
      </c>
      <c r="BR29" s="1">
        <v>800</v>
      </c>
      <c r="BS29" s="21">
        <v>642</v>
      </c>
      <c r="BT29" s="606"/>
      <c r="BU29" s="601">
        <v>8</v>
      </c>
      <c r="BV29" s="601">
        <v>3</v>
      </c>
      <c r="BW29" s="329">
        <f t="shared" si="5"/>
        <v>675</v>
      </c>
      <c r="BX29" s="329">
        <f>IF($F29&gt;0,$BW29*$D$208,"")</f>
        <v>860.6249999999999</v>
      </c>
      <c r="BY29" s="329">
        <f>IF($F29&gt;1,$BX29*$D$209,"")</f>
        <v>1097.2968749999998</v>
      </c>
      <c r="BZ29" s="329">
        <f>IF($F29&gt;2,$BY29*$D$210,"")</f>
        <v>1399.0535156249996</v>
      </c>
      <c r="CA29" s="329">
        <f>IF($F29&gt;3,$BZ29*$D$211,"")</f>
        <v>1783.7932324218743</v>
      </c>
      <c r="CB29" s="329">
        <f>IF($F29&gt;4,$CA29*$D$212,"")</f>
        <v>2274.3363713378894</v>
      </c>
      <c r="CC29" s="329">
        <f>IF($F29&gt;5,$CB29*$D$213,"")</f>
        <v>2899.778873455809</v>
      </c>
      <c r="CD29" s="329">
        <f>IF($F29&gt;6,$CC29*$D$214,"")</f>
        <v>3697.218063656156</v>
      </c>
      <c r="CE29" s="485" t="s">
        <v>180</v>
      </c>
      <c r="CF29" s="853" t="s">
        <v>183</v>
      </c>
      <c r="CG29" s="440" t="s">
        <v>313</v>
      </c>
      <c r="CH29" s="305">
        <v>112500000</v>
      </c>
      <c r="CI29" s="305">
        <f t="shared" si="6"/>
        <v>33750000</v>
      </c>
      <c r="CJ29" s="306">
        <f t="shared" si="7"/>
        <v>78750000</v>
      </c>
      <c r="CK29" s="307" t="e">
        <f>CJ29-#REF!</f>
        <v>#REF!</v>
      </c>
      <c r="CL29" s="592">
        <v>112500000</v>
      </c>
      <c r="CM29" s="21">
        <f t="shared" si="11"/>
        <v>1</v>
      </c>
      <c r="CN29" s="21">
        <f t="shared" si="12"/>
        <v>3.3333333333333335</v>
      </c>
      <c r="CO29" s="54"/>
      <c r="CP29" s="625">
        <f t="shared" si="13"/>
        <v>130</v>
      </c>
      <c r="CQ29" s="626">
        <f t="shared" si="14"/>
        <v>110</v>
      </c>
      <c r="CR29" s="624" t="str">
        <f t="shared" si="15"/>
        <v>A</v>
      </c>
      <c r="CS29" s="634">
        <f t="shared" si="16"/>
        <v>94</v>
      </c>
      <c r="CT29" s="591">
        <f t="shared" si="8"/>
        <v>97100000</v>
      </c>
      <c r="CU29" s="591">
        <f t="shared" si="9"/>
        <v>117.5</v>
      </c>
      <c r="CV29" s="592">
        <v>150000</v>
      </c>
      <c r="CW29" s="54"/>
      <c r="CX29" s="54"/>
      <c r="CY29" s="54"/>
      <c r="CZ29" s="54"/>
      <c r="DA29" s="54">
        <v>1.6875</v>
      </c>
      <c r="DB29" s="54">
        <v>6.25</v>
      </c>
      <c r="DC29" s="649">
        <f t="shared" si="17"/>
        <v>11.652</v>
      </c>
    </row>
    <row r="30" spans="1:107" ht="12.75">
      <c r="A30" s="24" t="s">
        <v>1046</v>
      </c>
      <c r="B30" s="69" t="s">
        <v>1046</v>
      </c>
      <c r="C30" s="308" t="s">
        <v>827</v>
      </c>
      <c r="D30" s="347">
        <v>80</v>
      </c>
      <c r="E30" s="348" t="s">
        <v>571</v>
      </c>
      <c r="F30" s="15">
        <v>8</v>
      </c>
      <c r="G30" s="18">
        <v>3</v>
      </c>
      <c r="H30" s="17">
        <v>8</v>
      </c>
      <c r="I30" s="16">
        <v>0</v>
      </c>
      <c r="J30" s="738">
        <v>7</v>
      </c>
      <c r="K30" s="188">
        <v>3</v>
      </c>
      <c r="L30" s="868">
        <v>485</v>
      </c>
      <c r="M30" s="888">
        <v>16500</v>
      </c>
      <c r="N30" s="131">
        <v>400</v>
      </c>
      <c r="O30" s="454">
        <v>125</v>
      </c>
      <c r="P30" s="531">
        <v>125</v>
      </c>
      <c r="Q30" s="340">
        <v>6211</v>
      </c>
      <c r="R30" s="98">
        <v>600</v>
      </c>
      <c r="S30" s="326">
        <f t="shared" si="0"/>
        <v>3286.416056583251</v>
      </c>
      <c r="T30" s="342">
        <v>105200</v>
      </c>
      <c r="U30" s="343">
        <v>495000</v>
      </c>
      <c r="V30" s="344">
        <v>50000</v>
      </c>
      <c r="W30" s="289">
        <v>0.11</v>
      </c>
      <c r="X30" s="340">
        <v>6641</v>
      </c>
      <c r="Y30" s="40">
        <v>50</v>
      </c>
      <c r="Z30" s="41">
        <v>20</v>
      </c>
      <c r="AA30" s="41">
        <v>25</v>
      </c>
      <c r="AB30" s="349">
        <v>35</v>
      </c>
      <c r="AC30" s="345">
        <v>5469</v>
      </c>
      <c r="AD30" s="312">
        <v>2500</v>
      </c>
      <c r="AE30" s="292">
        <f t="shared" si="1"/>
        <v>2.1876</v>
      </c>
      <c r="AF30" s="40">
        <v>0</v>
      </c>
      <c r="AG30" s="41">
        <v>50</v>
      </c>
      <c r="AH30" s="41">
        <v>40</v>
      </c>
      <c r="AI30" s="42">
        <v>20</v>
      </c>
      <c r="AJ30" s="5">
        <f t="shared" si="2"/>
        <v>18321</v>
      </c>
      <c r="AK30" s="103" t="str">
        <f t="shared" si="18"/>
        <v>A</v>
      </c>
      <c r="AL30" s="862">
        <v>5412</v>
      </c>
      <c r="AM30" s="458">
        <v>1087.5</v>
      </c>
      <c r="AN30" s="295">
        <f t="shared" si="4"/>
        <v>4.976551724137931</v>
      </c>
      <c r="AO30" s="146">
        <v>65</v>
      </c>
      <c r="AP30" s="179" t="s">
        <v>462</v>
      </c>
      <c r="AQ30" s="297">
        <v>110</v>
      </c>
      <c r="AR30" s="350">
        <v>17</v>
      </c>
      <c r="AS30" s="23">
        <v>0</v>
      </c>
      <c r="AT30" s="23">
        <v>0</v>
      </c>
      <c r="AU30" s="351">
        <v>0</v>
      </c>
      <c r="AV30" s="39">
        <v>370</v>
      </c>
      <c r="AW30" s="144">
        <v>105</v>
      </c>
      <c r="AX30" s="350">
        <v>8</v>
      </c>
      <c r="AY30" s="23">
        <v>0</v>
      </c>
      <c r="AZ30" s="23">
        <v>0</v>
      </c>
      <c r="BA30" s="83">
        <v>0</v>
      </c>
      <c r="BB30" s="586">
        <v>3</v>
      </c>
      <c r="BC30" s="590">
        <v>1.38E-07</v>
      </c>
      <c r="BD30" s="588">
        <f t="shared" si="10"/>
        <v>232.99305670358737</v>
      </c>
      <c r="BE30" s="299"/>
      <c r="BF30" s="300"/>
      <c r="BG30" s="112"/>
      <c r="BH30" s="541"/>
      <c r="BI30" s="301">
        <v>1</v>
      </c>
      <c r="BJ30" s="696" t="s">
        <v>1476</v>
      </c>
      <c r="BK30" s="13" t="s">
        <v>136</v>
      </c>
      <c r="BL30" s="303" t="s">
        <v>406</v>
      </c>
      <c r="BM30" s="86" t="s">
        <v>1087</v>
      </c>
      <c r="BN30" s="303" t="s">
        <v>104</v>
      </c>
      <c r="BO30" s="86"/>
      <c r="BP30" s="1" t="s">
        <v>1046</v>
      </c>
      <c r="BR30" s="1">
        <v>500</v>
      </c>
      <c r="BS30" s="21">
        <v>643</v>
      </c>
      <c r="BT30" s="606"/>
      <c r="BU30" s="601">
        <v>8.75</v>
      </c>
      <c r="BV30" s="601">
        <v>5</v>
      </c>
      <c r="BW30" s="329">
        <f t="shared" si="5"/>
        <v>600</v>
      </c>
      <c r="BX30" s="329">
        <f>IF($F30&gt;0,$BW30*$D$208,"")</f>
        <v>765</v>
      </c>
      <c r="BY30" s="329">
        <f>IF($F30&gt;1,$BX30*$D$209,"")</f>
        <v>975.3749999999999</v>
      </c>
      <c r="BZ30" s="329">
        <f>IF($F30&gt;2,$BY30*$D$210,"")</f>
        <v>1243.6031249999999</v>
      </c>
      <c r="CA30" s="329">
        <f>IF($F30&gt;3,$BZ30*$D$211,"")</f>
        <v>1585.5939843749998</v>
      </c>
      <c r="CB30" s="329">
        <f>IF($F30&gt;4,$CA30*$D$212,"")</f>
        <v>2021.6323300781246</v>
      </c>
      <c r="CC30" s="329">
        <f>IF($F30&gt;5,$CB30*$D$213,"")</f>
        <v>2577.5812208496086</v>
      </c>
      <c r="CD30" s="329">
        <f>IF($F30&gt;6,$CC30*$D$214,"")</f>
        <v>3286.416056583251</v>
      </c>
      <c r="CE30" s="485" t="s">
        <v>1208</v>
      </c>
      <c r="CF30" s="853" t="s">
        <v>183</v>
      </c>
      <c r="CG30" s="440" t="s">
        <v>1314</v>
      </c>
      <c r="CH30" s="305">
        <v>66250000</v>
      </c>
      <c r="CI30" s="305">
        <f t="shared" si="6"/>
        <v>19875000</v>
      </c>
      <c r="CJ30" s="306">
        <f t="shared" si="7"/>
        <v>46375000</v>
      </c>
      <c r="CK30" s="307" t="e">
        <f>CJ30-#REF!</f>
        <v>#REF!</v>
      </c>
      <c r="CL30" s="592">
        <v>66250000</v>
      </c>
      <c r="CM30" s="21">
        <f t="shared" si="11"/>
        <v>1</v>
      </c>
      <c r="CN30" s="21">
        <f t="shared" si="12"/>
        <v>3.3333333333333335</v>
      </c>
      <c r="CO30" s="54"/>
      <c r="CP30" s="625">
        <f t="shared" si="13"/>
        <v>130</v>
      </c>
      <c r="CQ30" s="626">
        <f t="shared" si="14"/>
        <v>110</v>
      </c>
      <c r="CR30" s="624" t="str">
        <f t="shared" si="15"/>
        <v>A</v>
      </c>
      <c r="CS30" s="634">
        <f t="shared" si="16"/>
        <v>105</v>
      </c>
      <c r="CT30" s="591">
        <f t="shared" si="8"/>
        <v>105200000</v>
      </c>
      <c r="CU30" s="591">
        <f t="shared" si="9"/>
        <v>131.25</v>
      </c>
      <c r="CV30" s="592">
        <v>150000</v>
      </c>
      <c r="CW30" s="54"/>
      <c r="CX30" s="54"/>
      <c r="CY30" s="54"/>
      <c r="CZ30" s="54"/>
      <c r="DA30" s="54">
        <v>1.6875</v>
      </c>
      <c r="DB30" s="54">
        <v>6.25</v>
      </c>
      <c r="DC30" s="649">
        <f t="shared" si="17"/>
        <v>11.572</v>
      </c>
    </row>
    <row r="31" spans="1:107" ht="12.75">
      <c r="A31" s="24" t="s">
        <v>12</v>
      </c>
      <c r="B31" s="69" t="s">
        <v>12</v>
      </c>
      <c r="C31" s="636" t="s">
        <v>865</v>
      </c>
      <c r="D31" s="347">
        <v>80</v>
      </c>
      <c r="E31" s="348" t="s">
        <v>571</v>
      </c>
      <c r="F31" s="15">
        <v>5</v>
      </c>
      <c r="G31" s="18">
        <v>6</v>
      </c>
      <c r="H31" s="17">
        <v>8</v>
      </c>
      <c r="I31" s="740">
        <v>6</v>
      </c>
      <c r="J31" s="187">
        <v>4</v>
      </c>
      <c r="K31" s="188">
        <v>3</v>
      </c>
      <c r="L31" s="868">
        <v>700</v>
      </c>
      <c r="M31" s="884">
        <v>9500</v>
      </c>
      <c r="N31" s="131">
        <v>400</v>
      </c>
      <c r="O31" s="454">
        <v>75</v>
      </c>
      <c r="P31" s="531">
        <v>75</v>
      </c>
      <c r="Q31" s="340">
        <v>6641</v>
      </c>
      <c r="R31" s="98">
        <v>665</v>
      </c>
      <c r="S31" s="326">
        <f t="shared" si="0"/>
        <v>2240.642499169921</v>
      </c>
      <c r="T31" s="342">
        <v>99300</v>
      </c>
      <c r="U31" s="343">
        <v>486000</v>
      </c>
      <c r="V31" s="344">
        <v>50000</v>
      </c>
      <c r="W31" s="289">
        <v>0.11</v>
      </c>
      <c r="X31" s="340">
        <v>6641</v>
      </c>
      <c r="Y31" s="43">
        <v>50</v>
      </c>
      <c r="Z31" s="44">
        <v>10</v>
      </c>
      <c r="AA31" s="44">
        <v>25</v>
      </c>
      <c r="AB31" s="49">
        <v>45</v>
      </c>
      <c r="AC31" s="345">
        <v>7500</v>
      </c>
      <c r="AD31" s="312">
        <v>2500</v>
      </c>
      <c r="AE31" s="292">
        <f t="shared" si="1"/>
        <v>3</v>
      </c>
      <c r="AF31" s="43">
        <v>0</v>
      </c>
      <c r="AG31" s="41">
        <v>50</v>
      </c>
      <c r="AH31" s="44">
        <v>40</v>
      </c>
      <c r="AI31" s="45">
        <v>20</v>
      </c>
      <c r="AJ31" s="5">
        <f t="shared" si="2"/>
        <v>20782</v>
      </c>
      <c r="AK31" s="103" t="str">
        <f t="shared" si="18"/>
        <v>S</v>
      </c>
      <c r="AL31" s="862">
        <v>5312</v>
      </c>
      <c r="AM31" s="458">
        <v>1154.88</v>
      </c>
      <c r="AN31" s="295">
        <f>AL31/AM31</f>
        <v>4.599612080908838</v>
      </c>
      <c r="AO31" s="145">
        <v>75</v>
      </c>
      <c r="AP31" s="85" t="s">
        <v>462</v>
      </c>
      <c r="AQ31" s="297">
        <v>85</v>
      </c>
      <c r="AR31" s="33">
        <v>0</v>
      </c>
      <c r="AS31" s="34">
        <v>22</v>
      </c>
      <c r="AT31" s="34">
        <v>0</v>
      </c>
      <c r="AU31" s="73">
        <v>0</v>
      </c>
      <c r="AV31" s="39">
        <v>460</v>
      </c>
      <c r="AW31" s="143">
        <v>94</v>
      </c>
      <c r="AX31" s="33">
        <v>0</v>
      </c>
      <c r="AY31" s="34">
        <v>7</v>
      </c>
      <c r="AZ31" s="34">
        <v>0</v>
      </c>
      <c r="BA31" s="84">
        <v>0</v>
      </c>
      <c r="BB31" s="586">
        <v>3</v>
      </c>
      <c r="BC31" s="590">
        <v>1.38E-07</v>
      </c>
      <c r="BD31" s="588">
        <f t="shared" si="10"/>
        <v>242.27563962228353</v>
      </c>
      <c r="BE31" s="299"/>
      <c r="BF31" s="300"/>
      <c r="BG31" s="112"/>
      <c r="BH31" s="541"/>
      <c r="BI31" s="301">
        <v>2</v>
      </c>
      <c r="BJ31" s="696" t="s">
        <v>1476</v>
      </c>
      <c r="BK31" s="13" t="s">
        <v>1671</v>
      </c>
      <c r="BL31" s="303" t="s">
        <v>1091</v>
      </c>
      <c r="BM31" s="86" t="s">
        <v>1188</v>
      </c>
      <c r="BN31" s="618" t="s">
        <v>1080</v>
      </c>
      <c r="BO31" s="86"/>
      <c r="BP31" s="1" t="s">
        <v>1189</v>
      </c>
      <c r="BQ31" t="s">
        <v>1190</v>
      </c>
      <c r="BR31" s="1">
        <v>500</v>
      </c>
      <c r="BS31" s="21">
        <v>638</v>
      </c>
      <c r="BT31" s="606"/>
      <c r="BU31" s="601">
        <v>7.5</v>
      </c>
      <c r="BV31" s="601">
        <v>3</v>
      </c>
      <c r="BW31" s="329">
        <f t="shared" si="5"/>
        <v>665</v>
      </c>
      <c r="BX31" s="329">
        <f>IF($F31&gt;0,$BW31*$D$208,"")</f>
        <v>847.8749999999999</v>
      </c>
      <c r="BY31" s="329">
        <f>IF($F31&gt;1,$BX31*$D$209,"")</f>
        <v>1081.0406249999999</v>
      </c>
      <c r="BZ31" s="329">
        <f>IF($F31&gt;2,$BY31*$D$210,"")</f>
        <v>1378.3267968749997</v>
      </c>
      <c r="CA31" s="329">
        <f>IF($F31&gt;3,$BZ31*$D$211,"")</f>
        <v>1757.3666660156246</v>
      </c>
      <c r="CB31" s="329">
        <f>IF($F31&gt;4,$CA31*$D$212,"")</f>
        <v>2240.642499169921</v>
      </c>
      <c r="CC31" s="329">
        <f>IF($F31&gt;5,$CB31*$D$213,"")</f>
      </c>
      <c r="CD31" s="329">
        <f>IF($F31&gt;6,$CC31*$D$214,"")</f>
      </c>
      <c r="CE31" s="485" t="s">
        <v>1391</v>
      </c>
      <c r="CF31" s="853" t="s">
        <v>183</v>
      </c>
      <c r="CG31" s="440" t="s">
        <v>1315</v>
      </c>
      <c r="CH31" s="305">
        <v>108750000</v>
      </c>
      <c r="CI31" s="305">
        <f t="shared" si="6"/>
        <v>32625000</v>
      </c>
      <c r="CJ31" s="306">
        <f t="shared" si="7"/>
        <v>76125000</v>
      </c>
      <c r="CK31" s="307" t="e">
        <f>CJ31-#REF!</f>
        <v>#REF!</v>
      </c>
      <c r="CL31" s="592">
        <v>108750000</v>
      </c>
      <c r="CM31" s="21">
        <f t="shared" si="11"/>
        <v>1</v>
      </c>
      <c r="CN31" s="21">
        <f t="shared" si="12"/>
        <v>3.3333333333333335</v>
      </c>
      <c r="CO31" s="54"/>
      <c r="CP31" s="622">
        <f t="shared" si="13"/>
        <v>130</v>
      </c>
      <c r="CQ31" s="623">
        <f t="shared" si="14"/>
        <v>110</v>
      </c>
      <c r="CR31" s="624" t="str">
        <f t="shared" si="15"/>
        <v>S</v>
      </c>
      <c r="CS31" s="634">
        <f t="shared" si="16"/>
        <v>94</v>
      </c>
      <c r="CT31" s="591">
        <f t="shared" si="8"/>
        <v>99300000</v>
      </c>
      <c r="CU31" s="591">
        <f t="shared" si="9"/>
        <v>117.5</v>
      </c>
      <c r="CV31" s="592">
        <v>150000</v>
      </c>
      <c r="CW31" s="54"/>
      <c r="CX31" s="54"/>
      <c r="CY31" s="54"/>
      <c r="CZ31" s="54"/>
      <c r="DA31" s="54">
        <v>1.6875</v>
      </c>
      <c r="DB31" s="54">
        <v>6.25</v>
      </c>
      <c r="DC31" s="649">
        <f t="shared" si="17"/>
        <v>10.923</v>
      </c>
    </row>
    <row r="32" spans="1:107" ht="12.75">
      <c r="A32" s="24" t="s">
        <v>1192</v>
      </c>
      <c r="B32" s="69" t="s">
        <v>1192</v>
      </c>
      <c r="C32" s="636" t="s">
        <v>865</v>
      </c>
      <c r="D32" s="347">
        <v>80</v>
      </c>
      <c r="E32" s="348" t="s">
        <v>571</v>
      </c>
      <c r="F32" s="15">
        <v>5</v>
      </c>
      <c r="G32" s="18">
        <v>6</v>
      </c>
      <c r="H32" s="17">
        <v>8</v>
      </c>
      <c r="I32" s="323">
        <v>4</v>
      </c>
      <c r="J32" s="741">
        <v>8</v>
      </c>
      <c r="K32" s="188">
        <v>3</v>
      </c>
      <c r="L32" s="868">
        <v>780</v>
      </c>
      <c r="M32" s="888">
        <v>15000</v>
      </c>
      <c r="N32" s="131">
        <v>400</v>
      </c>
      <c r="O32" s="454">
        <v>50</v>
      </c>
      <c r="P32" s="531">
        <v>50</v>
      </c>
      <c r="Q32" s="340">
        <v>7500</v>
      </c>
      <c r="R32" s="98">
        <v>625</v>
      </c>
      <c r="S32" s="326">
        <f t="shared" si="0"/>
        <v>2105.867010498046</v>
      </c>
      <c r="T32" s="342">
        <v>105300</v>
      </c>
      <c r="U32" s="343">
        <v>486000</v>
      </c>
      <c r="V32" s="344">
        <v>50000</v>
      </c>
      <c r="W32" s="289">
        <v>0.115</v>
      </c>
      <c r="X32" s="340">
        <v>7000</v>
      </c>
      <c r="Y32" s="43">
        <v>50</v>
      </c>
      <c r="Z32" s="44">
        <v>10</v>
      </c>
      <c r="AA32" s="44">
        <v>25</v>
      </c>
      <c r="AB32" s="49">
        <v>45</v>
      </c>
      <c r="AC32" s="345">
        <v>8500</v>
      </c>
      <c r="AD32" s="312">
        <v>2500</v>
      </c>
      <c r="AE32" s="292">
        <f t="shared" si="1"/>
        <v>3.4</v>
      </c>
      <c r="AF32" s="729">
        <v>0</v>
      </c>
      <c r="AG32" s="730">
        <v>50</v>
      </c>
      <c r="AH32" s="730">
        <v>40</v>
      </c>
      <c r="AI32" s="745">
        <v>20</v>
      </c>
      <c r="AJ32" s="5">
        <f t="shared" si="2"/>
        <v>23000</v>
      </c>
      <c r="AK32" s="103" t="str">
        <f t="shared" si="18"/>
        <v>S</v>
      </c>
      <c r="AL32" s="862">
        <v>6000</v>
      </c>
      <c r="AM32" s="458">
        <v>1250</v>
      </c>
      <c r="AN32" s="295">
        <f t="shared" si="4"/>
        <v>4.8</v>
      </c>
      <c r="AO32" s="145">
        <v>90</v>
      </c>
      <c r="AP32" s="85" t="s">
        <v>462</v>
      </c>
      <c r="AQ32" s="297">
        <v>75</v>
      </c>
      <c r="AR32" s="33">
        <v>0</v>
      </c>
      <c r="AS32" s="34">
        <v>24</v>
      </c>
      <c r="AT32" s="34">
        <v>0</v>
      </c>
      <c r="AU32" s="73">
        <v>0</v>
      </c>
      <c r="AV32" s="39">
        <v>500</v>
      </c>
      <c r="AW32" s="143">
        <v>89</v>
      </c>
      <c r="AX32" s="33">
        <v>0</v>
      </c>
      <c r="AY32" s="34"/>
      <c r="AZ32" s="34">
        <v>0</v>
      </c>
      <c r="BA32" s="84">
        <v>0</v>
      </c>
      <c r="BB32" s="586">
        <v>3</v>
      </c>
      <c r="BC32" s="590">
        <v>1.38E-07</v>
      </c>
      <c r="BD32" s="588">
        <f t="shared" si="10"/>
        <v>258.0618522647508</v>
      </c>
      <c r="BE32" s="299"/>
      <c r="BF32" s="300"/>
      <c r="BG32" s="112"/>
      <c r="BH32" s="541"/>
      <c r="BI32" s="301">
        <v>3</v>
      </c>
      <c r="BJ32" s="696" t="s">
        <v>1476</v>
      </c>
      <c r="BK32" s="36" t="s">
        <v>136</v>
      </c>
      <c r="BL32" s="303" t="s">
        <v>1507</v>
      </c>
      <c r="BM32" s="86" t="s">
        <v>178</v>
      </c>
      <c r="BN32" s="303" t="s">
        <v>104</v>
      </c>
      <c r="BO32" s="86"/>
      <c r="BP32" s="1" t="s">
        <v>179</v>
      </c>
      <c r="BR32" s="1">
        <v>500</v>
      </c>
      <c r="BS32" s="21">
        <v>24688</v>
      </c>
      <c r="BT32" s="606"/>
      <c r="BU32" s="601">
        <v>8</v>
      </c>
      <c r="BV32" s="601">
        <v>2</v>
      </c>
      <c r="BW32" s="329">
        <f t="shared" si="5"/>
        <v>625</v>
      </c>
      <c r="BX32" s="329">
        <f>IF($F32&gt;0,$BW32*$D$208,"")</f>
        <v>796.875</v>
      </c>
      <c r="BY32" s="329">
        <f>IF($F32&gt;1,$BX32*$D$209,"")</f>
        <v>1016.0156249999999</v>
      </c>
      <c r="BZ32" s="329">
        <f>IF($F32&gt;2,$BY32*$D$210,"")</f>
        <v>1295.4199218749998</v>
      </c>
      <c r="CA32" s="329">
        <f>IF($F32&gt;3,$BZ32*$D$211,"")</f>
        <v>1651.6604003906245</v>
      </c>
      <c r="CB32" s="329">
        <f>IF($F32&gt;4,$CA32*$D$212,"")</f>
        <v>2105.867010498046</v>
      </c>
      <c r="CC32" s="329">
        <f>IF($F32&gt;5,$CB32*$D$213,"")</f>
      </c>
      <c r="CD32" s="329">
        <f>IF($F32&gt;6,$CC32*$D$214,"")</f>
      </c>
      <c r="CE32" s="485" t="s">
        <v>1296</v>
      </c>
      <c r="CF32" s="852" t="s">
        <v>516</v>
      </c>
      <c r="CG32" s="440" t="s">
        <v>771</v>
      </c>
      <c r="CH32" s="305">
        <v>165000000</v>
      </c>
      <c r="CI32" s="305">
        <f t="shared" si="6"/>
        <v>49500000</v>
      </c>
      <c r="CJ32" s="306">
        <f t="shared" si="7"/>
        <v>115500000</v>
      </c>
      <c r="CK32" s="307" t="e">
        <f>CJ32-#REF!</f>
        <v>#REF!</v>
      </c>
      <c r="CL32" s="592">
        <v>165000000</v>
      </c>
      <c r="CM32" s="21">
        <f t="shared" si="11"/>
        <v>1</v>
      </c>
      <c r="CN32" s="21">
        <f t="shared" si="12"/>
        <v>3.3333333333333335</v>
      </c>
      <c r="CO32" s="54"/>
      <c r="CP32" s="622">
        <f t="shared" si="13"/>
        <v>130</v>
      </c>
      <c r="CQ32" s="623">
        <f t="shared" si="14"/>
        <v>110</v>
      </c>
      <c r="CR32" s="624" t="str">
        <f t="shared" si="15"/>
        <v>S</v>
      </c>
      <c r="CS32" s="634">
        <f t="shared" si="16"/>
        <v>89</v>
      </c>
      <c r="CT32" s="591">
        <f t="shared" si="8"/>
        <v>105300000</v>
      </c>
      <c r="CU32" s="591">
        <f t="shared" si="9"/>
        <v>111.25</v>
      </c>
      <c r="CV32" s="592">
        <v>150000</v>
      </c>
      <c r="CW32" s="54"/>
      <c r="CX32" s="54"/>
      <c r="CY32" s="54"/>
      <c r="CZ32" s="54"/>
      <c r="DA32" s="54">
        <v>1.6875</v>
      </c>
      <c r="DB32" s="54">
        <v>6.25</v>
      </c>
      <c r="DC32" s="649">
        <f t="shared" si="17"/>
        <v>12.1095</v>
      </c>
    </row>
    <row r="33" spans="1:107" ht="12.75">
      <c r="A33" s="24" t="s">
        <v>1235</v>
      </c>
      <c r="B33" s="69" t="s">
        <v>1235</v>
      </c>
      <c r="C33" s="636" t="s">
        <v>865</v>
      </c>
      <c r="D33" s="347">
        <v>80</v>
      </c>
      <c r="E33" s="348" t="s">
        <v>571</v>
      </c>
      <c r="F33" s="15">
        <v>4</v>
      </c>
      <c r="G33" s="739">
        <v>8</v>
      </c>
      <c r="H33" s="17">
        <v>6</v>
      </c>
      <c r="I33" s="16">
        <v>4</v>
      </c>
      <c r="J33" s="187">
        <v>4</v>
      </c>
      <c r="K33" s="188">
        <v>3</v>
      </c>
      <c r="L33" s="869">
        <v>750</v>
      </c>
      <c r="M33" s="884">
        <v>9000</v>
      </c>
      <c r="N33" s="131">
        <v>400</v>
      </c>
      <c r="O33" s="454">
        <v>75</v>
      </c>
      <c r="P33" s="531">
        <v>75</v>
      </c>
      <c r="Q33" s="340">
        <v>5469</v>
      </c>
      <c r="R33" s="98">
        <v>550</v>
      </c>
      <c r="S33" s="326">
        <f t="shared" si="0"/>
        <v>1453.4611523437497</v>
      </c>
      <c r="T33" s="342">
        <v>103600</v>
      </c>
      <c r="U33" s="343">
        <v>468000</v>
      </c>
      <c r="V33" s="344">
        <v>50000</v>
      </c>
      <c r="W33" s="289">
        <v>0.1</v>
      </c>
      <c r="X33" s="340">
        <v>5469</v>
      </c>
      <c r="Y33" s="43">
        <v>50</v>
      </c>
      <c r="Z33" s="44">
        <v>10</v>
      </c>
      <c r="AA33" s="44">
        <v>25</v>
      </c>
      <c r="AB33" s="49">
        <v>45</v>
      </c>
      <c r="AC33" s="345">
        <v>6641</v>
      </c>
      <c r="AD33" s="312">
        <v>2500</v>
      </c>
      <c r="AE33" s="292">
        <f t="shared" si="1"/>
        <v>2.6564</v>
      </c>
      <c r="AF33" s="43">
        <v>0</v>
      </c>
      <c r="AG33" s="41">
        <v>50</v>
      </c>
      <c r="AH33" s="44">
        <v>40</v>
      </c>
      <c r="AI33" s="45">
        <v>20</v>
      </c>
      <c r="AJ33" s="5">
        <f t="shared" si="2"/>
        <v>17579</v>
      </c>
      <c r="AK33" s="103" t="str">
        <f t="shared" si="18"/>
        <v>S</v>
      </c>
      <c r="AL33" s="862">
        <v>5312</v>
      </c>
      <c r="AM33" s="458">
        <v>1087.5</v>
      </c>
      <c r="AN33" s="295">
        <f t="shared" si="4"/>
        <v>4.884597701149425</v>
      </c>
      <c r="AO33" s="145">
        <v>90</v>
      </c>
      <c r="AP33" s="85" t="s">
        <v>462</v>
      </c>
      <c r="AQ33" s="297">
        <v>75</v>
      </c>
      <c r="AR33" s="33">
        <v>0</v>
      </c>
      <c r="AS33" s="34">
        <v>24</v>
      </c>
      <c r="AT33" s="34">
        <v>0</v>
      </c>
      <c r="AU33" s="73">
        <v>0</v>
      </c>
      <c r="AV33" s="39">
        <v>480</v>
      </c>
      <c r="AW33" s="143">
        <v>94</v>
      </c>
      <c r="AX33" s="33">
        <v>0</v>
      </c>
      <c r="AY33" s="34">
        <v>7</v>
      </c>
      <c r="AZ33" s="34">
        <v>0</v>
      </c>
      <c r="BA33" s="84">
        <v>0</v>
      </c>
      <c r="BB33" s="586">
        <v>3</v>
      </c>
      <c r="BC33" s="590">
        <v>1.38E-07</v>
      </c>
      <c r="BD33" s="588">
        <f t="shared" si="10"/>
        <v>232.21979743718876</v>
      </c>
      <c r="BE33" s="299"/>
      <c r="BF33" s="300"/>
      <c r="BG33" s="112"/>
      <c r="BH33" s="541"/>
      <c r="BI33" s="301">
        <v>1</v>
      </c>
      <c r="BJ33" s="696" t="s">
        <v>1476</v>
      </c>
      <c r="BK33" s="13" t="s">
        <v>181</v>
      </c>
      <c r="BL33" s="303" t="s">
        <v>17</v>
      </c>
      <c r="BM33" s="86" t="s">
        <v>1206</v>
      </c>
      <c r="BN33" s="618" t="s">
        <v>1229</v>
      </c>
      <c r="BO33" s="86"/>
      <c r="BP33" s="1" t="s">
        <v>1235</v>
      </c>
      <c r="BQ33" t="s">
        <v>1207</v>
      </c>
      <c r="BR33" s="1">
        <v>500</v>
      </c>
      <c r="BS33" s="21">
        <v>640</v>
      </c>
      <c r="BT33" s="606" t="s">
        <v>214</v>
      </c>
      <c r="BU33" s="611">
        <v>6</v>
      </c>
      <c r="BV33" s="601">
        <v>3</v>
      </c>
      <c r="BW33" s="329">
        <f t="shared" si="5"/>
        <v>550</v>
      </c>
      <c r="BX33" s="329">
        <f>IF($F33&gt;0,$BW33*$D$208,"")</f>
        <v>701.25</v>
      </c>
      <c r="BY33" s="329">
        <f>IF($F33&gt;1,$BX33*$D$209,"")</f>
        <v>894.0937499999999</v>
      </c>
      <c r="BZ33" s="329">
        <f>IF($F33&gt;2,$BY33*$D$210,"")</f>
        <v>1139.9695312499998</v>
      </c>
      <c r="CA33" s="329">
        <f>IF($F33&gt;3,$BZ33*$D$211,"")</f>
        <v>1453.4611523437497</v>
      </c>
      <c r="CB33" s="329">
        <f>IF($F33&gt;4,$CA33*$D$212,"")</f>
      </c>
      <c r="CC33" s="329">
        <f>IF($F33&gt;5,$CB33*$D$213,"")</f>
      </c>
      <c r="CD33" s="329">
        <f>IF($F33&gt;6,$CC33*$D$214,"")</f>
      </c>
      <c r="CE33" s="485" t="s">
        <v>283</v>
      </c>
      <c r="CF33" s="853" t="s">
        <v>183</v>
      </c>
      <c r="CG33" s="440" t="s">
        <v>772</v>
      </c>
      <c r="CH33" s="305">
        <v>71250000</v>
      </c>
      <c r="CI33" s="305">
        <f t="shared" si="6"/>
        <v>21375000</v>
      </c>
      <c r="CJ33" s="306">
        <f t="shared" si="7"/>
        <v>49875000</v>
      </c>
      <c r="CK33" s="307" t="e">
        <f>CJ33-#REF!</f>
        <v>#REF!</v>
      </c>
      <c r="CL33" s="592">
        <v>71250000</v>
      </c>
      <c r="CM33" s="21">
        <f t="shared" si="11"/>
        <v>1</v>
      </c>
      <c r="CN33" s="21">
        <f t="shared" si="12"/>
        <v>3.3333333333333335</v>
      </c>
      <c r="CO33" s="54"/>
      <c r="CP33" s="622">
        <f t="shared" si="13"/>
        <v>130</v>
      </c>
      <c r="CQ33" s="623">
        <f t="shared" si="14"/>
        <v>110</v>
      </c>
      <c r="CR33" s="624" t="str">
        <f t="shared" si="15"/>
        <v>S</v>
      </c>
      <c r="CS33" s="634">
        <f t="shared" si="16"/>
        <v>94</v>
      </c>
      <c r="CT33" s="591">
        <f t="shared" si="8"/>
        <v>103600000</v>
      </c>
      <c r="CU33" s="591">
        <f t="shared" si="9"/>
        <v>117.5</v>
      </c>
      <c r="CV33" s="592">
        <v>150000</v>
      </c>
      <c r="CW33" s="54"/>
      <c r="CX33" s="54"/>
      <c r="CY33" s="54"/>
      <c r="CZ33" s="54"/>
      <c r="DA33" s="54">
        <v>1.6875</v>
      </c>
      <c r="DB33" s="54">
        <v>6.25</v>
      </c>
      <c r="DC33" s="649">
        <f t="shared" si="17"/>
        <v>10.36</v>
      </c>
    </row>
    <row r="34" spans="1:107" ht="12.75">
      <c r="A34" s="24" t="s">
        <v>103</v>
      </c>
      <c r="B34" s="69" t="s">
        <v>103</v>
      </c>
      <c r="C34" s="315" t="s">
        <v>1042</v>
      </c>
      <c r="D34" s="347">
        <v>80</v>
      </c>
      <c r="E34" s="348" t="s">
        <v>571</v>
      </c>
      <c r="F34" s="15">
        <v>7</v>
      </c>
      <c r="G34" s="18">
        <v>5</v>
      </c>
      <c r="H34" s="17">
        <v>6</v>
      </c>
      <c r="I34" s="16">
        <v>0</v>
      </c>
      <c r="J34" s="737">
        <v>6</v>
      </c>
      <c r="K34" s="188">
        <v>3</v>
      </c>
      <c r="L34" s="868">
        <v>600</v>
      </c>
      <c r="M34" s="884">
        <v>9000</v>
      </c>
      <c r="N34" s="131">
        <v>400</v>
      </c>
      <c r="O34" s="455">
        <v>375</v>
      </c>
      <c r="P34" s="743">
        <v>125</v>
      </c>
      <c r="Q34" s="340">
        <v>6641</v>
      </c>
      <c r="R34" s="98">
        <v>600</v>
      </c>
      <c r="S34" s="326">
        <f t="shared" si="0"/>
        <v>3286.416056583251</v>
      </c>
      <c r="T34" s="352">
        <v>97100</v>
      </c>
      <c r="U34" s="359">
        <v>454500</v>
      </c>
      <c r="V34" s="344">
        <v>50000</v>
      </c>
      <c r="W34" s="289">
        <v>0.115</v>
      </c>
      <c r="X34" s="340">
        <v>6211</v>
      </c>
      <c r="Y34" s="43">
        <v>50</v>
      </c>
      <c r="Z34" s="44">
        <v>10</v>
      </c>
      <c r="AA34" s="44">
        <v>35</v>
      </c>
      <c r="AB34" s="49">
        <v>35</v>
      </c>
      <c r="AC34" s="345">
        <v>5469</v>
      </c>
      <c r="AD34" s="312">
        <v>2500</v>
      </c>
      <c r="AE34" s="292">
        <f t="shared" si="1"/>
        <v>2.1876</v>
      </c>
      <c r="AF34" s="43">
        <v>0</v>
      </c>
      <c r="AG34" s="41">
        <v>50</v>
      </c>
      <c r="AH34" s="44">
        <v>40</v>
      </c>
      <c r="AI34" s="45">
        <v>20</v>
      </c>
      <c r="AJ34" s="5">
        <f t="shared" si="2"/>
        <v>18321</v>
      </c>
      <c r="AK34" s="103" t="str">
        <f t="shared" si="18"/>
        <v>A</v>
      </c>
      <c r="AL34" s="862">
        <v>5000</v>
      </c>
      <c r="AM34" s="458">
        <v>1087.5</v>
      </c>
      <c r="AN34" s="295">
        <f t="shared" si="4"/>
        <v>4.597701149425287</v>
      </c>
      <c r="AO34" s="145">
        <v>70</v>
      </c>
      <c r="AP34" s="85" t="s">
        <v>462</v>
      </c>
      <c r="AQ34" s="297">
        <v>90</v>
      </c>
      <c r="AR34" s="33">
        <v>0</v>
      </c>
      <c r="AS34" s="34">
        <v>0</v>
      </c>
      <c r="AT34" s="34">
        <v>22</v>
      </c>
      <c r="AU34" s="73">
        <v>0</v>
      </c>
      <c r="AV34" s="39">
        <v>420</v>
      </c>
      <c r="AW34" s="143">
        <v>99</v>
      </c>
      <c r="AX34" s="33">
        <v>0</v>
      </c>
      <c r="AY34" s="34">
        <v>0</v>
      </c>
      <c r="AZ34" s="34">
        <v>7</v>
      </c>
      <c r="BA34" s="84">
        <v>0</v>
      </c>
      <c r="BB34" s="586">
        <v>3</v>
      </c>
      <c r="BC34" s="590">
        <v>1.38E-07</v>
      </c>
      <c r="BD34" s="588">
        <f t="shared" si="10"/>
        <v>233.21243600650757</v>
      </c>
      <c r="BE34" s="299"/>
      <c r="BF34" s="300"/>
      <c r="BG34" s="112"/>
      <c r="BH34" s="541"/>
      <c r="BI34" s="301">
        <v>1</v>
      </c>
      <c r="BJ34" s="696" t="s">
        <v>1476</v>
      </c>
      <c r="BK34" s="13" t="s">
        <v>1149</v>
      </c>
      <c r="BL34" s="303" t="s">
        <v>470</v>
      </c>
      <c r="BM34" s="86" t="s">
        <v>544</v>
      </c>
      <c r="BN34" s="303" t="s">
        <v>104</v>
      </c>
      <c r="BO34" s="86"/>
      <c r="BP34" s="1" t="s">
        <v>1390</v>
      </c>
      <c r="BR34" s="1">
        <v>500</v>
      </c>
      <c r="BS34" s="21">
        <v>645</v>
      </c>
      <c r="BT34" s="606"/>
      <c r="BU34" s="601">
        <v>7.5</v>
      </c>
      <c r="BV34" s="601">
        <v>7.5</v>
      </c>
      <c r="BW34" s="329">
        <f t="shared" si="5"/>
        <v>600</v>
      </c>
      <c r="BX34" s="329">
        <f>IF($F34&gt;0,$BW34*$D$208,"")</f>
        <v>765</v>
      </c>
      <c r="BY34" s="329">
        <f>IF($F34&gt;1,$BX34*$D$209,"")</f>
        <v>975.3749999999999</v>
      </c>
      <c r="BZ34" s="329">
        <f>IF($F34&gt;2,$BY34*$D$210,"")</f>
        <v>1243.6031249999999</v>
      </c>
      <c r="CA34" s="329">
        <f>IF($F34&gt;3,$BZ34*$D$211,"")</f>
        <v>1585.5939843749998</v>
      </c>
      <c r="CB34" s="329">
        <f>IF($F34&gt;4,$CA34*$D$212,"")</f>
        <v>2021.6323300781246</v>
      </c>
      <c r="CC34" s="329">
        <f>IF($F34&gt;5,$CB34*$D$213,"")</f>
        <v>2577.5812208496086</v>
      </c>
      <c r="CD34" s="329">
        <f>IF($F34&gt;6,$CC34*$D$214,"")</f>
        <v>3286.416056583251</v>
      </c>
      <c r="CE34" s="485" t="s">
        <v>106</v>
      </c>
      <c r="CF34" s="853" t="s">
        <v>183</v>
      </c>
      <c r="CG34" s="440" t="s">
        <v>773</v>
      </c>
      <c r="CH34" s="305">
        <v>62500000</v>
      </c>
      <c r="CI34" s="305">
        <f t="shared" si="6"/>
        <v>18750000</v>
      </c>
      <c r="CJ34" s="306">
        <f t="shared" si="7"/>
        <v>43750000</v>
      </c>
      <c r="CK34" s="307" t="e">
        <f>CJ34-#REF!</f>
        <v>#REF!</v>
      </c>
      <c r="CL34" s="592">
        <v>62500000</v>
      </c>
      <c r="CM34" s="21">
        <f t="shared" si="11"/>
        <v>1</v>
      </c>
      <c r="CN34" s="21">
        <f t="shared" si="12"/>
        <v>3.3333333333333335</v>
      </c>
      <c r="CO34" s="54"/>
      <c r="CP34" s="625">
        <f t="shared" si="13"/>
        <v>130</v>
      </c>
      <c r="CQ34" s="626">
        <f t="shared" si="14"/>
        <v>110</v>
      </c>
      <c r="CR34" s="624" t="str">
        <f t="shared" si="15"/>
        <v>A</v>
      </c>
      <c r="CS34" s="634">
        <f t="shared" si="16"/>
        <v>99</v>
      </c>
      <c r="CT34" s="591">
        <f t="shared" si="8"/>
        <v>97100000</v>
      </c>
      <c r="CU34" s="591">
        <f t="shared" si="9"/>
        <v>123.75</v>
      </c>
      <c r="CV34" s="592">
        <v>150000</v>
      </c>
      <c r="CW34" s="54"/>
      <c r="CX34" s="54"/>
      <c r="CY34" s="54"/>
      <c r="CZ34" s="54"/>
      <c r="DA34" s="54">
        <v>1.6875</v>
      </c>
      <c r="DB34" s="54">
        <v>6.25</v>
      </c>
      <c r="DC34" s="649">
        <f t="shared" si="17"/>
        <v>11.1665</v>
      </c>
    </row>
    <row r="35" spans="1:107" ht="12.75">
      <c r="A35" s="24" t="s">
        <v>1392</v>
      </c>
      <c r="B35" s="69" t="s">
        <v>1392</v>
      </c>
      <c r="C35" s="315" t="s">
        <v>1042</v>
      </c>
      <c r="D35" s="347">
        <v>80</v>
      </c>
      <c r="E35" s="348" t="s">
        <v>571</v>
      </c>
      <c r="F35" s="15">
        <v>6</v>
      </c>
      <c r="G35" s="18">
        <v>5</v>
      </c>
      <c r="H35" s="17">
        <v>8</v>
      </c>
      <c r="I35" s="16">
        <v>1</v>
      </c>
      <c r="J35" s="186">
        <v>8</v>
      </c>
      <c r="K35" s="188">
        <v>3</v>
      </c>
      <c r="L35" s="868">
        <v>600</v>
      </c>
      <c r="M35" s="888">
        <v>15750</v>
      </c>
      <c r="N35" s="131">
        <v>400</v>
      </c>
      <c r="O35" s="454">
        <v>100</v>
      </c>
      <c r="P35" s="531">
        <v>100</v>
      </c>
      <c r="Q35" s="340">
        <v>8500</v>
      </c>
      <c r="R35" s="98">
        <v>675</v>
      </c>
      <c r="S35" s="326">
        <f t="shared" si="0"/>
        <v>2899.778873455809</v>
      </c>
      <c r="T35" s="342">
        <v>100200</v>
      </c>
      <c r="U35" s="343">
        <v>513000</v>
      </c>
      <c r="V35" s="344">
        <v>50000</v>
      </c>
      <c r="W35" s="289">
        <v>0.11</v>
      </c>
      <c r="X35" s="913">
        <v>8000</v>
      </c>
      <c r="Y35" s="43">
        <v>50</v>
      </c>
      <c r="Z35" s="44">
        <v>10</v>
      </c>
      <c r="AA35" s="44">
        <v>35</v>
      </c>
      <c r="AB35" s="49">
        <v>35</v>
      </c>
      <c r="AC35" s="345">
        <v>7500</v>
      </c>
      <c r="AD35" s="312">
        <v>2500</v>
      </c>
      <c r="AE35" s="292">
        <f t="shared" si="1"/>
        <v>3</v>
      </c>
      <c r="AF35" s="43">
        <v>0</v>
      </c>
      <c r="AG35" s="41">
        <v>50</v>
      </c>
      <c r="AH35" s="44">
        <v>40</v>
      </c>
      <c r="AI35" s="45">
        <v>20</v>
      </c>
      <c r="AJ35" s="5">
        <f t="shared" si="2"/>
        <v>24000</v>
      </c>
      <c r="AK35" s="331" t="s">
        <v>1393</v>
      </c>
      <c r="AL35" s="862">
        <v>7200</v>
      </c>
      <c r="AM35" s="458">
        <v>1500</v>
      </c>
      <c r="AN35" s="295">
        <f>AL35/AM35</f>
        <v>4.8</v>
      </c>
      <c r="AO35" s="145">
        <v>60</v>
      </c>
      <c r="AP35" s="85" t="s">
        <v>462</v>
      </c>
      <c r="AQ35" s="297">
        <v>110</v>
      </c>
      <c r="AR35" s="33">
        <v>0</v>
      </c>
      <c r="AS35" s="34">
        <v>0</v>
      </c>
      <c r="AT35" s="34">
        <v>23</v>
      </c>
      <c r="AU35" s="73">
        <v>0</v>
      </c>
      <c r="AV35" s="39">
        <v>485</v>
      </c>
      <c r="AW35" s="143">
        <v>110</v>
      </c>
      <c r="AX35" s="33">
        <v>0</v>
      </c>
      <c r="AY35" s="34">
        <v>0</v>
      </c>
      <c r="AZ35" s="34"/>
      <c r="BA35" s="84">
        <v>0</v>
      </c>
      <c r="BB35" s="586">
        <v>3</v>
      </c>
      <c r="BC35" s="590">
        <v>1.38E-07</v>
      </c>
      <c r="BD35" s="588">
        <f t="shared" si="10"/>
        <v>325.4360843530331</v>
      </c>
      <c r="BE35" s="299"/>
      <c r="BF35" s="300"/>
      <c r="BG35" s="112"/>
      <c r="BH35" s="541"/>
      <c r="BI35" s="301">
        <v>3</v>
      </c>
      <c r="BJ35" s="696" t="s">
        <v>1476</v>
      </c>
      <c r="BK35" s="13" t="s">
        <v>136</v>
      </c>
      <c r="BL35" s="303" t="s">
        <v>420</v>
      </c>
      <c r="BM35" s="86" t="s">
        <v>1295</v>
      </c>
      <c r="BN35" s="303" t="s">
        <v>104</v>
      </c>
      <c r="BO35" s="86"/>
      <c r="BP35" s="1" t="s">
        <v>1114</v>
      </c>
      <c r="BR35" s="1">
        <v>500</v>
      </c>
      <c r="BS35" s="21">
        <v>24690</v>
      </c>
      <c r="BT35" s="606"/>
      <c r="BU35" s="601">
        <v>10</v>
      </c>
      <c r="BV35" s="601">
        <v>4</v>
      </c>
      <c r="BW35" s="329">
        <f t="shared" si="5"/>
        <v>675</v>
      </c>
      <c r="BX35" s="329">
        <f>IF($F35&gt;0,$BW35*$D$208,"")</f>
        <v>860.6249999999999</v>
      </c>
      <c r="BY35" s="329">
        <f>IF($F35&gt;1,$BX35*$D$209,"")</f>
        <v>1097.2968749999998</v>
      </c>
      <c r="BZ35" s="329">
        <f>IF($F35&gt;2,$BY35*$D$210,"")</f>
        <v>1399.0535156249996</v>
      </c>
      <c r="CA35" s="329">
        <f>IF($F35&gt;3,$BZ35*$D$211,"")</f>
        <v>1783.7932324218743</v>
      </c>
      <c r="CB35" s="329">
        <f>IF($F35&gt;4,$CA35*$D$212,"")</f>
        <v>2274.3363713378894</v>
      </c>
      <c r="CC35" s="329">
        <f>IF($F35&gt;5,$CB35*$D$213,"")</f>
        <v>2899.778873455809</v>
      </c>
      <c r="CD35" s="329">
        <f>IF($F35&gt;6,$CC35*$D$214,"")</f>
      </c>
      <c r="CE35" s="485" t="s">
        <v>1783</v>
      </c>
      <c r="CF35" s="852" t="s">
        <v>516</v>
      </c>
      <c r="CG35" s="440" t="s">
        <v>774</v>
      </c>
      <c r="CH35" s="305">
        <v>176000000</v>
      </c>
      <c r="CI35" s="305">
        <f t="shared" si="6"/>
        <v>52800000</v>
      </c>
      <c r="CJ35" s="306">
        <f t="shared" si="7"/>
        <v>123200000</v>
      </c>
      <c r="CK35" s="307" t="e">
        <f>CJ35-#REF!</f>
        <v>#REF!</v>
      </c>
      <c r="CL35" s="592">
        <v>176000000</v>
      </c>
      <c r="CM35" s="21">
        <f t="shared" si="11"/>
        <v>1</v>
      </c>
      <c r="CN35" s="21">
        <f t="shared" si="12"/>
        <v>3.3333333333333335</v>
      </c>
      <c r="CO35" s="54"/>
      <c r="CP35" s="625">
        <f t="shared" si="13"/>
        <v>130</v>
      </c>
      <c r="CQ35" s="626">
        <f t="shared" si="14"/>
        <v>110</v>
      </c>
      <c r="CR35" s="624" t="str">
        <f t="shared" si="15"/>
        <v>A</v>
      </c>
      <c r="CS35" s="634">
        <f t="shared" si="16"/>
        <v>110</v>
      </c>
      <c r="CT35" s="591">
        <f t="shared" si="8"/>
        <v>100200000</v>
      </c>
      <c r="CU35" s="591">
        <f t="shared" si="9"/>
        <v>137.5</v>
      </c>
      <c r="CV35" s="592">
        <v>150000</v>
      </c>
      <c r="CW35" s="54"/>
      <c r="CX35" s="54"/>
      <c r="CY35" s="54"/>
      <c r="CZ35" s="54"/>
      <c r="DA35" s="54">
        <v>1.6875</v>
      </c>
      <c r="DB35" s="54">
        <v>6.25</v>
      </c>
      <c r="DC35" s="649">
        <f t="shared" si="17"/>
        <v>11.022</v>
      </c>
    </row>
    <row r="36" spans="1:107" ht="12.75">
      <c r="A36" s="24" t="s">
        <v>145</v>
      </c>
      <c r="B36" s="69" t="s">
        <v>145</v>
      </c>
      <c r="C36" s="315" t="s">
        <v>1042</v>
      </c>
      <c r="D36" s="347">
        <v>80</v>
      </c>
      <c r="E36" s="348" t="s">
        <v>571</v>
      </c>
      <c r="F36" s="15">
        <v>7</v>
      </c>
      <c r="G36" s="18">
        <v>4</v>
      </c>
      <c r="H36" s="17">
        <v>8</v>
      </c>
      <c r="I36" s="16">
        <v>2</v>
      </c>
      <c r="J36" s="186">
        <v>7</v>
      </c>
      <c r="K36" s="188">
        <v>3</v>
      </c>
      <c r="L36" s="868">
        <v>550</v>
      </c>
      <c r="M36" s="888">
        <v>15500</v>
      </c>
      <c r="N36" s="131">
        <v>400</v>
      </c>
      <c r="O36" s="454">
        <v>125</v>
      </c>
      <c r="P36" s="531">
        <v>125</v>
      </c>
      <c r="Q36" s="340">
        <v>7500</v>
      </c>
      <c r="R36" s="98">
        <v>675</v>
      </c>
      <c r="S36" s="326">
        <f t="shared" si="0"/>
        <v>3697.218063656156</v>
      </c>
      <c r="T36" s="342">
        <v>98400</v>
      </c>
      <c r="U36" s="343">
        <v>513000</v>
      </c>
      <c r="V36" s="344">
        <v>50000</v>
      </c>
      <c r="W36" s="289">
        <v>0.11</v>
      </c>
      <c r="X36" s="340">
        <v>6641</v>
      </c>
      <c r="Y36" s="43">
        <v>50</v>
      </c>
      <c r="Z36" s="44">
        <v>10</v>
      </c>
      <c r="AA36" s="44">
        <v>35</v>
      </c>
      <c r="AB36" s="49">
        <v>35</v>
      </c>
      <c r="AC36" s="345">
        <v>6211</v>
      </c>
      <c r="AD36" s="312">
        <v>2500</v>
      </c>
      <c r="AE36" s="292">
        <f t="shared" si="1"/>
        <v>2.4844</v>
      </c>
      <c r="AF36" s="43">
        <v>0</v>
      </c>
      <c r="AG36" s="41">
        <v>50</v>
      </c>
      <c r="AH36" s="44">
        <v>40</v>
      </c>
      <c r="AI36" s="45">
        <v>20</v>
      </c>
      <c r="AJ36" s="5">
        <f aca="true" t="shared" si="19" ref="AJ36:AJ67">Q36+X36+AC36</f>
        <v>20352</v>
      </c>
      <c r="AK36" s="103" t="str">
        <f>IF($X36=$AC36,"=",IF(MAX($AC36,$X36)*0.1&gt;ABS($X36-$AC36),"~",IF(MAX($AC36,$X36)=$X36,"A","S")))</f>
        <v>~</v>
      </c>
      <c r="AL36" s="862">
        <v>5625</v>
      </c>
      <c r="AM36" s="458">
        <v>1154.88</v>
      </c>
      <c r="AN36" s="295">
        <f t="shared" si="4"/>
        <v>4.870635910224438</v>
      </c>
      <c r="AO36" s="145">
        <v>72</v>
      </c>
      <c r="AP36" s="85" t="s">
        <v>462</v>
      </c>
      <c r="AQ36" s="297">
        <v>95</v>
      </c>
      <c r="AR36" s="33">
        <v>0</v>
      </c>
      <c r="AS36" s="34">
        <v>0</v>
      </c>
      <c r="AT36" s="34">
        <v>21</v>
      </c>
      <c r="AU36" s="73"/>
      <c r="AV36" s="39">
        <v>400</v>
      </c>
      <c r="AW36" s="143">
        <v>105</v>
      </c>
      <c r="AX36" s="33">
        <v>0</v>
      </c>
      <c r="AY36" s="34">
        <v>0</v>
      </c>
      <c r="AZ36" s="34">
        <v>8</v>
      </c>
      <c r="BA36" s="84">
        <v>0</v>
      </c>
      <c r="BB36" s="586">
        <v>3</v>
      </c>
      <c r="BC36" s="590">
        <v>1.38E-07</v>
      </c>
      <c r="BD36" s="588">
        <f t="shared" si="10"/>
        <v>258.89779957582186</v>
      </c>
      <c r="BE36" s="299"/>
      <c r="BF36" s="300"/>
      <c r="BG36" s="112"/>
      <c r="BH36" s="541"/>
      <c r="BI36" s="301">
        <v>2</v>
      </c>
      <c r="BJ36" s="696" t="s">
        <v>1476</v>
      </c>
      <c r="BK36" s="13" t="s">
        <v>136</v>
      </c>
      <c r="BL36" s="303" t="s">
        <v>619</v>
      </c>
      <c r="BM36" s="86" t="s">
        <v>281</v>
      </c>
      <c r="BN36" s="303" t="s">
        <v>104</v>
      </c>
      <c r="BO36" s="86"/>
      <c r="BP36" s="1" t="s">
        <v>282</v>
      </c>
      <c r="BR36" s="1">
        <v>500</v>
      </c>
      <c r="BS36" s="21">
        <v>641</v>
      </c>
      <c r="BT36" s="606"/>
      <c r="BU36" s="601">
        <v>8.75</v>
      </c>
      <c r="BV36" s="601">
        <v>5</v>
      </c>
      <c r="BW36" s="329">
        <f t="shared" si="5"/>
        <v>675</v>
      </c>
      <c r="BX36" s="329">
        <f>IF($F36&gt;0,$BW36*$D$208,"")</f>
        <v>860.6249999999999</v>
      </c>
      <c r="BY36" s="329">
        <f>IF($F36&gt;1,$BX36*$D$209,"")</f>
        <v>1097.2968749999998</v>
      </c>
      <c r="BZ36" s="329">
        <f>IF($F36&gt;2,$BY36*$D$210,"")</f>
        <v>1399.0535156249996</v>
      </c>
      <c r="CA36" s="329">
        <f>IF($F36&gt;3,$BZ36*$D$211,"")</f>
        <v>1783.7932324218743</v>
      </c>
      <c r="CB36" s="329">
        <f>IF($F36&gt;4,$CA36*$D$212,"")</f>
        <v>2274.3363713378894</v>
      </c>
      <c r="CC36" s="329">
        <f>IF($F36&gt;5,$CB36*$D$213,"")</f>
        <v>2899.778873455809</v>
      </c>
      <c r="CD36" s="329">
        <f>IF($F36&gt;6,$CC36*$D$214,"")</f>
        <v>3697.218063656156</v>
      </c>
      <c r="CE36" s="485" t="s">
        <v>1804</v>
      </c>
      <c r="CF36" s="853" t="s">
        <v>183</v>
      </c>
      <c r="CG36" s="440" t="s">
        <v>775</v>
      </c>
      <c r="CH36" s="305">
        <v>105000000</v>
      </c>
      <c r="CI36" s="305">
        <f t="shared" si="6"/>
        <v>31500000</v>
      </c>
      <c r="CJ36" s="306">
        <f t="shared" si="7"/>
        <v>73500000</v>
      </c>
      <c r="CK36" s="307" t="e">
        <f>CJ36-#REF!</f>
        <v>#REF!</v>
      </c>
      <c r="CL36" s="592">
        <v>105000000</v>
      </c>
      <c r="CM36" s="21">
        <f t="shared" si="11"/>
        <v>1</v>
      </c>
      <c r="CN36" s="21">
        <f t="shared" si="12"/>
        <v>3.3333333333333335</v>
      </c>
      <c r="CO36" s="54"/>
      <c r="CP36" s="625">
        <f t="shared" si="13"/>
        <v>130</v>
      </c>
      <c r="CQ36" s="623">
        <f t="shared" si="14"/>
        <v>110</v>
      </c>
      <c r="CR36" s="624" t="str">
        <f t="shared" si="15"/>
        <v>~</v>
      </c>
      <c r="CS36" s="634">
        <f t="shared" si="16"/>
        <v>105</v>
      </c>
      <c r="CT36" s="591">
        <f t="shared" si="8"/>
        <v>98400000</v>
      </c>
      <c r="CU36" s="591">
        <f t="shared" si="9"/>
        <v>131.25</v>
      </c>
      <c r="CV36" s="592">
        <v>150000</v>
      </c>
      <c r="CW36" s="54"/>
      <c r="CX36" s="54"/>
      <c r="CY36" s="54"/>
      <c r="CZ36" s="54"/>
      <c r="DA36" s="54">
        <v>1.6875</v>
      </c>
      <c r="DB36" s="54">
        <v>6.25</v>
      </c>
      <c r="DC36" s="649">
        <f t="shared" si="17"/>
        <v>10.824</v>
      </c>
    </row>
    <row r="37" spans="1:107" ht="12.75">
      <c r="A37" s="24" t="s">
        <v>284</v>
      </c>
      <c r="B37" s="69" t="s">
        <v>284</v>
      </c>
      <c r="C37" s="319" t="s">
        <v>99</v>
      </c>
      <c r="D37" s="347">
        <v>80</v>
      </c>
      <c r="E37" s="348" t="s">
        <v>571</v>
      </c>
      <c r="F37" s="15">
        <v>5</v>
      </c>
      <c r="G37" s="18">
        <v>6</v>
      </c>
      <c r="H37" s="17">
        <v>8</v>
      </c>
      <c r="I37" s="16">
        <v>3</v>
      </c>
      <c r="J37" s="186">
        <v>8</v>
      </c>
      <c r="K37" s="188">
        <v>3</v>
      </c>
      <c r="L37" s="868">
        <v>640</v>
      </c>
      <c r="M37" s="888">
        <v>21000</v>
      </c>
      <c r="N37" s="131">
        <v>400</v>
      </c>
      <c r="O37" s="454">
        <v>100</v>
      </c>
      <c r="P37" s="531">
        <v>100</v>
      </c>
      <c r="Q37" s="340">
        <v>7000</v>
      </c>
      <c r="R37" s="98">
        <v>550</v>
      </c>
      <c r="S37" s="326">
        <f t="shared" si="0"/>
        <v>1853.1629692382808</v>
      </c>
      <c r="T37" s="342">
        <v>103600</v>
      </c>
      <c r="U37" s="343">
        <v>472500</v>
      </c>
      <c r="V37" s="344">
        <v>50000</v>
      </c>
      <c r="W37" s="289">
        <v>0.12</v>
      </c>
      <c r="X37" s="340">
        <v>7500</v>
      </c>
      <c r="Y37" s="43">
        <v>60</v>
      </c>
      <c r="Z37" s="44">
        <v>10</v>
      </c>
      <c r="AA37" s="44">
        <v>25</v>
      </c>
      <c r="AB37" s="49">
        <v>35</v>
      </c>
      <c r="AC37" s="355">
        <v>8000</v>
      </c>
      <c r="AD37" s="312">
        <v>2500</v>
      </c>
      <c r="AE37" s="292">
        <f t="shared" si="1"/>
        <v>3.2</v>
      </c>
      <c r="AF37" s="43">
        <v>0</v>
      </c>
      <c r="AG37" s="41">
        <v>50</v>
      </c>
      <c r="AH37" s="44">
        <v>40</v>
      </c>
      <c r="AI37" s="45">
        <v>20</v>
      </c>
      <c r="AJ37" s="5">
        <f t="shared" si="19"/>
        <v>22500</v>
      </c>
      <c r="AK37" s="331" t="s">
        <v>931</v>
      </c>
      <c r="AL37" s="862">
        <v>6000</v>
      </c>
      <c r="AM37" s="458">
        <v>1250</v>
      </c>
      <c r="AN37" s="295">
        <f>AL37/AM37</f>
        <v>4.8</v>
      </c>
      <c r="AO37" s="145">
        <v>75</v>
      </c>
      <c r="AP37" s="85" t="s">
        <v>462</v>
      </c>
      <c r="AQ37" s="297">
        <v>90</v>
      </c>
      <c r="AR37" s="33">
        <v>0</v>
      </c>
      <c r="AS37" s="34">
        <v>0</v>
      </c>
      <c r="AT37" s="34">
        <v>0</v>
      </c>
      <c r="AU37" s="73">
        <v>21</v>
      </c>
      <c r="AV37" s="39">
        <v>460</v>
      </c>
      <c r="AW37" s="143">
        <v>94</v>
      </c>
      <c r="AX37" s="33">
        <v>0</v>
      </c>
      <c r="AY37" s="34">
        <v>0</v>
      </c>
      <c r="AZ37" s="34">
        <v>0</v>
      </c>
      <c r="BA37" s="84"/>
      <c r="BB37" s="586">
        <v>3</v>
      </c>
      <c r="BC37" s="590">
        <v>1.38E-07</v>
      </c>
      <c r="BD37" s="588">
        <f t="shared" si="10"/>
        <v>262.2964579486319</v>
      </c>
      <c r="BE37" s="299"/>
      <c r="BF37" s="300"/>
      <c r="BG37" s="112"/>
      <c r="BH37" s="541"/>
      <c r="BI37" s="301">
        <v>3</v>
      </c>
      <c r="BJ37" s="696" t="s">
        <v>1476</v>
      </c>
      <c r="BK37" s="13" t="s">
        <v>136</v>
      </c>
      <c r="BL37" s="303" t="s">
        <v>968</v>
      </c>
      <c r="BM37" s="86" t="s">
        <v>105</v>
      </c>
      <c r="BN37" s="303" t="s">
        <v>104</v>
      </c>
      <c r="BO37" s="86"/>
      <c r="BP37" s="1" t="s">
        <v>284</v>
      </c>
      <c r="BR37" s="1">
        <v>500</v>
      </c>
      <c r="BS37" s="21">
        <v>24694</v>
      </c>
      <c r="BT37" s="606"/>
      <c r="BU37" s="601">
        <v>10</v>
      </c>
      <c r="BV37" s="601">
        <v>4</v>
      </c>
      <c r="BW37" s="329">
        <f t="shared" si="5"/>
        <v>550</v>
      </c>
      <c r="BX37" s="329">
        <f>IF($F37&gt;0,$BW37*$D$208,"")</f>
        <v>701.25</v>
      </c>
      <c r="BY37" s="329">
        <f>IF($F37&gt;1,$BX37*$D$209,"")</f>
        <v>894.0937499999999</v>
      </c>
      <c r="BZ37" s="329">
        <f>IF($F37&gt;2,$BY37*$D$210,"")</f>
        <v>1139.9695312499998</v>
      </c>
      <c r="CA37" s="329">
        <f>IF($F37&gt;3,$BZ37*$D$211,"")</f>
        <v>1453.4611523437497</v>
      </c>
      <c r="CB37" s="329">
        <f>IF($F37&gt;4,$CA37*$D$212,"")</f>
        <v>1853.1629692382808</v>
      </c>
      <c r="CC37" s="329">
        <f>IF($F37&gt;5,$CB37*$D$213,"")</f>
      </c>
      <c r="CD37" s="329">
        <f>IF($F37&gt;6,$CC37*$D$214,"")</f>
      </c>
      <c r="CE37" s="485" t="s">
        <v>1801</v>
      </c>
      <c r="CF37" s="852" t="s">
        <v>516</v>
      </c>
      <c r="CG37" s="440" t="s">
        <v>776</v>
      </c>
      <c r="CH37" s="305">
        <v>145000000</v>
      </c>
      <c r="CI37" s="305">
        <f t="shared" si="6"/>
        <v>43500000</v>
      </c>
      <c r="CJ37" s="306">
        <f t="shared" si="7"/>
        <v>101500000</v>
      </c>
      <c r="CK37" s="307" t="e">
        <f>CJ37-#REF!</f>
        <v>#REF!</v>
      </c>
      <c r="CL37" s="592">
        <v>145000000</v>
      </c>
      <c r="CM37" s="21">
        <f t="shared" si="11"/>
        <v>1</v>
      </c>
      <c r="CN37" s="21">
        <f t="shared" si="12"/>
        <v>3.3333333333333335</v>
      </c>
      <c r="CO37" s="54"/>
      <c r="CP37" s="622">
        <f t="shared" si="13"/>
        <v>130</v>
      </c>
      <c r="CQ37" s="623">
        <f t="shared" si="14"/>
        <v>110</v>
      </c>
      <c r="CR37" s="624" t="str">
        <f t="shared" si="15"/>
        <v>S</v>
      </c>
      <c r="CS37" s="634">
        <f t="shared" si="16"/>
        <v>94</v>
      </c>
      <c r="CT37" s="591">
        <f t="shared" si="8"/>
        <v>103600000</v>
      </c>
      <c r="CU37" s="591">
        <f t="shared" si="9"/>
        <v>117.5</v>
      </c>
      <c r="CV37" s="592">
        <v>150000</v>
      </c>
      <c r="CW37" s="54"/>
      <c r="CX37" s="54"/>
      <c r="CY37" s="54"/>
      <c r="CZ37" s="54"/>
      <c r="DA37" s="54">
        <v>1.6875</v>
      </c>
      <c r="DB37" s="54">
        <v>6.25</v>
      </c>
      <c r="DC37" s="649">
        <f t="shared" si="17"/>
        <v>12.432</v>
      </c>
    </row>
    <row r="38" spans="1:107" ht="12.75">
      <c r="A38" s="24" t="s">
        <v>1424</v>
      </c>
      <c r="B38" s="69" t="s">
        <v>1424</v>
      </c>
      <c r="C38" s="319" t="s">
        <v>99</v>
      </c>
      <c r="D38" s="347">
        <v>80</v>
      </c>
      <c r="E38" s="348" t="s">
        <v>571</v>
      </c>
      <c r="F38" s="15">
        <v>6</v>
      </c>
      <c r="G38" s="18">
        <v>5</v>
      </c>
      <c r="H38" s="17">
        <v>8</v>
      </c>
      <c r="I38" s="16">
        <v>4</v>
      </c>
      <c r="J38" s="186">
        <v>6</v>
      </c>
      <c r="K38" s="188">
        <v>3</v>
      </c>
      <c r="L38" s="868">
        <v>550</v>
      </c>
      <c r="M38" s="888">
        <v>15500</v>
      </c>
      <c r="N38" s="131">
        <v>400</v>
      </c>
      <c r="O38" s="454">
        <v>75</v>
      </c>
      <c r="P38" s="531">
        <v>75</v>
      </c>
      <c r="Q38" s="340">
        <v>6641</v>
      </c>
      <c r="R38" s="98">
        <v>600</v>
      </c>
      <c r="S38" s="326">
        <f t="shared" si="0"/>
        <v>2577.5812208496086</v>
      </c>
      <c r="T38" s="342">
        <v>103300</v>
      </c>
      <c r="U38" s="343">
        <v>450000</v>
      </c>
      <c r="V38" s="344">
        <v>50000</v>
      </c>
      <c r="W38" s="289">
        <v>0.105</v>
      </c>
      <c r="X38" s="340">
        <v>6211</v>
      </c>
      <c r="Y38" s="43">
        <v>60</v>
      </c>
      <c r="Z38" s="44">
        <v>10</v>
      </c>
      <c r="AA38" s="44">
        <v>25</v>
      </c>
      <c r="AB38" s="49">
        <v>35</v>
      </c>
      <c r="AC38" s="345">
        <v>6954</v>
      </c>
      <c r="AD38" s="312">
        <v>2500</v>
      </c>
      <c r="AE38" s="292">
        <f t="shared" si="1"/>
        <v>2.7816</v>
      </c>
      <c r="AF38" s="43">
        <v>0</v>
      </c>
      <c r="AG38" s="41">
        <v>50</v>
      </c>
      <c r="AH38" s="44">
        <v>40</v>
      </c>
      <c r="AI38" s="45">
        <v>20</v>
      </c>
      <c r="AJ38" s="5">
        <f t="shared" si="19"/>
        <v>19806</v>
      </c>
      <c r="AK38" s="103" t="str">
        <f>IF($X38=$AC38,"=",IF(MAX($AC38,$X38)*0.1&gt;ABS($X38-$AC38),"~",IF(MAX($AC38,$X38)=$X38,"A","S")))</f>
        <v>S</v>
      </c>
      <c r="AL38" s="862">
        <v>5312</v>
      </c>
      <c r="AM38" s="458">
        <v>1154.88</v>
      </c>
      <c r="AN38" s="295">
        <f t="shared" si="4"/>
        <v>4.599612080908838</v>
      </c>
      <c r="AO38" s="145">
        <v>62</v>
      </c>
      <c r="AP38" s="85" t="s">
        <v>462</v>
      </c>
      <c r="AQ38" s="297">
        <v>100</v>
      </c>
      <c r="AR38" s="33">
        <v>0</v>
      </c>
      <c r="AS38" s="34">
        <v>0</v>
      </c>
      <c r="AT38" s="34">
        <v>0</v>
      </c>
      <c r="AU38" s="73">
        <v>19</v>
      </c>
      <c r="AV38" s="39">
        <v>340</v>
      </c>
      <c r="AW38" s="143">
        <v>120</v>
      </c>
      <c r="AX38" s="33">
        <v>0</v>
      </c>
      <c r="AY38" s="34">
        <v>0</v>
      </c>
      <c r="AZ38" s="34">
        <v>0</v>
      </c>
      <c r="BA38" s="84">
        <v>9</v>
      </c>
      <c r="BB38" s="586">
        <v>3</v>
      </c>
      <c r="BC38" s="590">
        <v>1.38E-07</v>
      </c>
      <c r="BD38" s="588">
        <f t="shared" si="10"/>
        <v>232.8942014955736</v>
      </c>
      <c r="BE38" s="299"/>
      <c r="BF38" s="300"/>
      <c r="BG38" s="112"/>
      <c r="BH38" s="541"/>
      <c r="BI38" s="301">
        <v>2</v>
      </c>
      <c r="BJ38" s="696" t="s">
        <v>1476</v>
      </c>
      <c r="BK38" s="13" t="s">
        <v>136</v>
      </c>
      <c r="BL38" s="303" t="s">
        <v>1497</v>
      </c>
      <c r="BM38" s="86" t="s">
        <v>1781</v>
      </c>
      <c r="BN38" s="303" t="s">
        <v>104</v>
      </c>
      <c r="BO38" s="86"/>
      <c r="BP38" s="1" t="s">
        <v>1782</v>
      </c>
      <c r="BR38" s="1">
        <v>500</v>
      </c>
      <c r="BS38" s="21">
        <v>639</v>
      </c>
      <c r="BT38" s="606"/>
      <c r="BU38" s="601">
        <v>9</v>
      </c>
      <c r="BV38" s="601">
        <v>3</v>
      </c>
      <c r="BW38" s="329">
        <f t="shared" si="5"/>
        <v>600</v>
      </c>
      <c r="BX38" s="329">
        <f>IF($F38&gt;0,$BW38*$D$208,"")</f>
        <v>765</v>
      </c>
      <c r="BY38" s="329">
        <f>IF($F38&gt;1,$BX38*$D$209,"")</f>
        <v>975.3749999999999</v>
      </c>
      <c r="BZ38" s="329">
        <f>IF($F38&gt;2,$BY38*$D$210,"")</f>
        <v>1243.6031249999999</v>
      </c>
      <c r="CA38" s="329">
        <f>IF($F38&gt;3,$BZ38*$D$211,"")</f>
        <v>1585.5939843749998</v>
      </c>
      <c r="CB38" s="329">
        <f>IF($F38&gt;4,$CA38*$D$212,"")</f>
        <v>2021.6323300781246</v>
      </c>
      <c r="CC38" s="329">
        <f>IF($F38&gt;5,$CB38*$D$213,"")</f>
        <v>2577.5812208496086</v>
      </c>
      <c r="CD38" s="329">
        <f>IF($F38&gt;6,$CC38*$D$214,"")</f>
      </c>
      <c r="CE38" s="485" t="s">
        <v>1131</v>
      </c>
      <c r="CF38" s="853" t="s">
        <v>183</v>
      </c>
      <c r="CG38" s="440" t="s">
        <v>1057</v>
      </c>
      <c r="CH38" s="305">
        <v>103750000</v>
      </c>
      <c r="CI38" s="305">
        <f t="shared" si="6"/>
        <v>31125000</v>
      </c>
      <c r="CJ38" s="306">
        <f t="shared" si="7"/>
        <v>72625000</v>
      </c>
      <c r="CK38" s="307" t="e">
        <f>CJ38-#REF!</f>
        <v>#REF!</v>
      </c>
      <c r="CL38" s="592">
        <v>103750000</v>
      </c>
      <c r="CM38" s="21">
        <f t="shared" si="11"/>
        <v>1</v>
      </c>
      <c r="CN38" s="21">
        <f t="shared" si="12"/>
        <v>3.3333333333333335</v>
      </c>
      <c r="CO38" s="54"/>
      <c r="CP38" s="622">
        <f t="shared" si="13"/>
        <v>130</v>
      </c>
      <c r="CQ38" s="623">
        <f t="shared" si="14"/>
        <v>110</v>
      </c>
      <c r="CR38" s="624" t="str">
        <f t="shared" si="15"/>
        <v>S</v>
      </c>
      <c r="CS38" s="634">
        <f t="shared" si="16"/>
        <v>120</v>
      </c>
      <c r="CT38" s="591">
        <f t="shared" si="8"/>
        <v>103300000</v>
      </c>
      <c r="CU38" s="591">
        <f t="shared" si="9"/>
        <v>150</v>
      </c>
      <c r="CV38" s="592">
        <v>150000</v>
      </c>
      <c r="CW38" s="54"/>
      <c r="CX38" s="54"/>
      <c r="CY38" s="54"/>
      <c r="CZ38" s="54"/>
      <c r="DA38" s="54">
        <v>1.6875</v>
      </c>
      <c r="DB38" s="54">
        <v>6.25</v>
      </c>
      <c r="DC38" s="649">
        <f t="shared" si="17"/>
        <v>10.8465</v>
      </c>
    </row>
    <row r="39" spans="1:107" ht="12.75">
      <c r="A39" s="24" t="s">
        <v>905</v>
      </c>
      <c r="B39" s="69" t="s">
        <v>905</v>
      </c>
      <c r="C39" s="319" t="s">
        <v>99</v>
      </c>
      <c r="D39" s="347">
        <v>80</v>
      </c>
      <c r="E39" s="348" t="s">
        <v>571</v>
      </c>
      <c r="F39" s="15">
        <v>7</v>
      </c>
      <c r="G39" s="18">
        <v>4</v>
      </c>
      <c r="H39" s="17">
        <v>8</v>
      </c>
      <c r="I39" s="740">
        <v>4</v>
      </c>
      <c r="J39" s="186">
        <v>4</v>
      </c>
      <c r="K39" s="188">
        <v>3</v>
      </c>
      <c r="L39" s="868">
        <v>600</v>
      </c>
      <c r="M39" s="888">
        <v>12500</v>
      </c>
      <c r="N39" s="131">
        <v>400</v>
      </c>
      <c r="O39" s="454">
        <v>175</v>
      </c>
      <c r="P39" s="531">
        <v>125</v>
      </c>
      <c r="Q39" s="340">
        <v>6211</v>
      </c>
      <c r="R39" s="98">
        <v>625</v>
      </c>
      <c r="S39" s="326">
        <f t="shared" si="0"/>
        <v>3423.350058940886</v>
      </c>
      <c r="T39" s="342">
        <v>103600</v>
      </c>
      <c r="U39" s="343">
        <v>414000</v>
      </c>
      <c r="V39" s="344">
        <v>50000</v>
      </c>
      <c r="W39" s="289">
        <v>0.1</v>
      </c>
      <c r="X39" s="340">
        <v>5469</v>
      </c>
      <c r="Y39" s="43">
        <v>60</v>
      </c>
      <c r="Z39" s="44">
        <v>10</v>
      </c>
      <c r="AA39" s="44">
        <v>25</v>
      </c>
      <c r="AB39" s="49">
        <v>35</v>
      </c>
      <c r="AC39" s="345">
        <v>6211</v>
      </c>
      <c r="AD39" s="312">
        <v>2500</v>
      </c>
      <c r="AE39" s="292">
        <f t="shared" si="1"/>
        <v>2.4844</v>
      </c>
      <c r="AF39" s="43">
        <v>0</v>
      </c>
      <c r="AG39" s="41">
        <v>50</v>
      </c>
      <c r="AH39" s="44">
        <v>40</v>
      </c>
      <c r="AI39" s="45">
        <v>20</v>
      </c>
      <c r="AJ39" s="5">
        <f t="shared" si="19"/>
        <v>17891</v>
      </c>
      <c r="AK39" s="103" t="str">
        <f>IF($X39=$AC39,"=",IF(MAX($AC39,$X39)*0.1&gt;ABS($X39-$AC39),"~",IF(MAX($AC39,$X39)=$X39,"A","S")))</f>
        <v>S</v>
      </c>
      <c r="AL39" s="862">
        <v>5000</v>
      </c>
      <c r="AM39" s="458">
        <v>1087.5</v>
      </c>
      <c r="AN39" s="295">
        <f t="shared" si="4"/>
        <v>4.597701149425287</v>
      </c>
      <c r="AO39" s="145">
        <v>60</v>
      </c>
      <c r="AP39" s="85" t="s">
        <v>462</v>
      </c>
      <c r="AQ39" s="297">
        <v>115</v>
      </c>
      <c r="AR39" s="33">
        <v>0</v>
      </c>
      <c r="AS39" s="34">
        <v>0</v>
      </c>
      <c r="AT39" s="34">
        <v>0</v>
      </c>
      <c r="AU39" s="73">
        <v>18</v>
      </c>
      <c r="AV39" s="39">
        <v>320</v>
      </c>
      <c r="AW39" s="143">
        <v>130</v>
      </c>
      <c r="AX39" s="33">
        <v>0</v>
      </c>
      <c r="AY39" s="34">
        <v>0</v>
      </c>
      <c r="AZ39" s="34">
        <v>0</v>
      </c>
      <c r="BA39" s="84">
        <v>10</v>
      </c>
      <c r="BB39" s="586">
        <v>3</v>
      </c>
      <c r="BC39" s="590">
        <v>1.38E-07</v>
      </c>
      <c r="BD39" s="588">
        <f t="shared" si="10"/>
        <v>218.5803816238599</v>
      </c>
      <c r="BE39" s="299"/>
      <c r="BF39" s="300"/>
      <c r="BG39" s="112"/>
      <c r="BH39" s="541"/>
      <c r="BI39" s="301">
        <v>1</v>
      </c>
      <c r="BJ39" s="696" t="s">
        <v>1476</v>
      </c>
      <c r="BK39" s="13" t="s">
        <v>1759</v>
      </c>
      <c r="BL39" s="303" t="s">
        <v>998</v>
      </c>
      <c r="BM39" s="86" t="s">
        <v>208</v>
      </c>
      <c r="BN39" s="303" t="s">
        <v>104</v>
      </c>
      <c r="BO39" s="86"/>
      <c r="BP39" s="1" t="s">
        <v>1803</v>
      </c>
      <c r="BR39" s="1">
        <v>500</v>
      </c>
      <c r="BS39" s="21">
        <v>644</v>
      </c>
      <c r="BT39" s="606"/>
      <c r="BU39" s="601">
        <v>10</v>
      </c>
      <c r="BV39" s="601">
        <v>5</v>
      </c>
      <c r="BW39" s="329">
        <f t="shared" si="5"/>
        <v>625</v>
      </c>
      <c r="BX39" s="329">
        <f>IF($F39&gt;0,$BW39*$D$208,"")</f>
        <v>796.875</v>
      </c>
      <c r="BY39" s="329">
        <f>IF($F39&gt;1,$BX39*$D$209,"")</f>
        <v>1016.0156249999999</v>
      </c>
      <c r="BZ39" s="329">
        <f>IF($F39&gt;2,$BY39*$D$210,"")</f>
        <v>1295.4199218749998</v>
      </c>
      <c r="CA39" s="329">
        <f>IF($F39&gt;3,$BZ39*$D$211,"")</f>
        <v>1651.6604003906245</v>
      </c>
      <c r="CB39" s="329">
        <f>IF($F39&gt;4,$CA39*$D$212,"")</f>
        <v>2105.867010498046</v>
      </c>
      <c r="CC39" s="329">
        <f>IF($F39&gt;5,$CB39*$D$213,"")</f>
        <v>2684.9804383850087</v>
      </c>
      <c r="CD39" s="329">
        <f>IF($F39&gt;6,$CC39*$D$214,"")</f>
        <v>3423.350058940886</v>
      </c>
      <c r="CE39" s="485" t="s">
        <v>1454</v>
      </c>
      <c r="CF39" s="853" t="s">
        <v>183</v>
      </c>
      <c r="CG39" s="440" t="s">
        <v>1058</v>
      </c>
      <c r="CH39" s="305">
        <v>75000000</v>
      </c>
      <c r="CI39" s="305">
        <f t="shared" si="6"/>
        <v>22500000</v>
      </c>
      <c r="CJ39" s="306">
        <f t="shared" si="7"/>
        <v>52500000</v>
      </c>
      <c r="CK39" s="307" t="e">
        <f>CJ39-#REF!</f>
        <v>#REF!</v>
      </c>
      <c r="CL39" s="592">
        <v>75000000</v>
      </c>
      <c r="CM39" s="21">
        <f t="shared" si="11"/>
        <v>1</v>
      </c>
      <c r="CN39" s="21">
        <f t="shared" si="12"/>
        <v>3.3333333333333335</v>
      </c>
      <c r="CO39" s="54"/>
      <c r="CP39" s="622">
        <f t="shared" si="13"/>
        <v>130</v>
      </c>
      <c r="CQ39" s="623">
        <f t="shared" si="14"/>
        <v>110</v>
      </c>
      <c r="CR39" s="624" t="str">
        <f t="shared" si="15"/>
        <v>S</v>
      </c>
      <c r="CS39" s="634">
        <f t="shared" si="16"/>
        <v>130</v>
      </c>
      <c r="CT39" s="591">
        <f t="shared" si="8"/>
        <v>103600000</v>
      </c>
      <c r="CU39" s="591">
        <f t="shared" si="9"/>
        <v>162.5</v>
      </c>
      <c r="CV39" s="592">
        <v>150000</v>
      </c>
      <c r="CW39" s="54"/>
      <c r="CX39" s="54"/>
      <c r="CY39" s="54"/>
      <c r="CZ39" s="54"/>
      <c r="DA39" s="54">
        <v>1.6875</v>
      </c>
      <c r="DB39" s="54">
        <v>6.25</v>
      </c>
      <c r="DC39" s="649">
        <f t="shared" si="17"/>
        <v>10.36</v>
      </c>
    </row>
    <row r="40" spans="1:107" ht="12.75">
      <c r="A40" s="24" t="s">
        <v>1805</v>
      </c>
      <c r="B40" s="117" t="s">
        <v>1806</v>
      </c>
      <c r="C40" s="308" t="s">
        <v>827</v>
      </c>
      <c r="D40" s="356">
        <v>71</v>
      </c>
      <c r="E40" s="357" t="s">
        <v>1807</v>
      </c>
      <c r="F40" s="15">
        <v>7</v>
      </c>
      <c r="G40" s="18">
        <v>3</v>
      </c>
      <c r="H40" s="860">
        <v>7</v>
      </c>
      <c r="I40" s="323">
        <v>1</v>
      </c>
      <c r="J40" s="738">
        <v>6</v>
      </c>
      <c r="K40" s="188">
        <v>2</v>
      </c>
      <c r="L40" s="867">
        <v>400</v>
      </c>
      <c r="M40" s="885">
        <v>1575</v>
      </c>
      <c r="N40" s="106">
        <v>400</v>
      </c>
      <c r="O40" s="454">
        <v>25</v>
      </c>
      <c r="P40" s="531">
        <v>25</v>
      </c>
      <c r="Q40" s="340">
        <v>4324</v>
      </c>
      <c r="R40" s="341">
        <v>350</v>
      </c>
      <c r="S40" s="358">
        <f t="shared" si="0"/>
        <v>1917.0760330068956</v>
      </c>
      <c r="T40" s="352">
        <v>13500</v>
      </c>
      <c r="U40" s="359">
        <v>234000</v>
      </c>
      <c r="V40" s="360">
        <v>15000</v>
      </c>
      <c r="W40" s="361">
        <v>0.615</v>
      </c>
      <c r="X40" s="153">
        <v>4805</v>
      </c>
      <c r="Y40" s="819">
        <v>50</v>
      </c>
      <c r="Z40" s="820">
        <v>70</v>
      </c>
      <c r="AA40" s="820">
        <v>53.12</v>
      </c>
      <c r="AB40" s="821">
        <v>35</v>
      </c>
      <c r="AC40" s="345">
        <v>3363</v>
      </c>
      <c r="AD40" s="362">
        <v>1400</v>
      </c>
      <c r="AE40" s="292">
        <f aca="true" t="shared" si="20" ref="AE40:AE71">AC40/AD40</f>
        <v>2.402142857142857</v>
      </c>
      <c r="AF40" s="46">
        <v>0</v>
      </c>
      <c r="AG40" s="48">
        <v>81.25</v>
      </c>
      <c r="AH40" s="48">
        <v>62.5</v>
      </c>
      <c r="AI40" s="47">
        <v>20</v>
      </c>
      <c r="AJ40" s="5">
        <f t="shared" si="19"/>
        <v>12492</v>
      </c>
      <c r="AK40" s="103" t="str">
        <f>IF($X40=$AC40,"=",IF(MAX($AC40,$X40)*0.1&gt;ABS($X40-$AC40),"~",IF(MAX($AC40,$X40)=$X40,"A","S")))</f>
        <v>A</v>
      </c>
      <c r="AL40" s="862">
        <v>3375</v>
      </c>
      <c r="AM40" s="458">
        <v>750</v>
      </c>
      <c r="AN40" s="295">
        <f t="shared" si="4"/>
        <v>4.5</v>
      </c>
      <c r="AO40" s="145">
        <v>50</v>
      </c>
      <c r="AP40" s="85" t="s">
        <v>465</v>
      </c>
      <c r="AQ40" s="297">
        <v>210</v>
      </c>
      <c r="AR40" s="33">
        <v>16</v>
      </c>
      <c r="AS40" s="34">
        <v>0</v>
      </c>
      <c r="AT40" s="34">
        <v>0</v>
      </c>
      <c r="AU40" s="73">
        <v>0</v>
      </c>
      <c r="AV40" s="39">
        <v>265</v>
      </c>
      <c r="AW40" s="143">
        <v>150</v>
      </c>
      <c r="AX40" s="33">
        <v>7</v>
      </c>
      <c r="AY40" s="34">
        <v>0</v>
      </c>
      <c r="AZ40" s="34">
        <v>0</v>
      </c>
      <c r="BA40" s="84">
        <v>0</v>
      </c>
      <c r="BB40" s="586">
        <v>3</v>
      </c>
      <c r="BC40" s="590">
        <v>8.13E-07</v>
      </c>
      <c r="BD40" s="588">
        <f t="shared" si="10"/>
        <v>192.18942189421892</v>
      </c>
      <c r="BE40" s="299"/>
      <c r="BF40" s="300"/>
      <c r="BG40" s="112"/>
      <c r="BH40" s="541"/>
      <c r="BI40" s="301">
        <v>1</v>
      </c>
      <c r="BJ40" s="346" t="s">
        <v>1401</v>
      </c>
      <c r="BK40" s="13" t="s">
        <v>64</v>
      </c>
      <c r="BL40" s="303" t="s">
        <v>1627</v>
      </c>
      <c r="BM40" s="86" t="s">
        <v>1173</v>
      </c>
      <c r="BN40" s="303" t="s">
        <v>1079</v>
      </c>
      <c r="BO40" s="86"/>
      <c r="BP40" s="1" t="s">
        <v>1805</v>
      </c>
      <c r="BR40" s="1">
        <v>396</v>
      </c>
      <c r="BS40" s="21">
        <v>22448</v>
      </c>
      <c r="BT40" s="606"/>
      <c r="BU40" s="601">
        <v>9</v>
      </c>
      <c r="BV40" s="601">
        <v>1</v>
      </c>
      <c r="BW40" s="329">
        <f aca="true" t="shared" si="21" ref="BW40:BW71">$R40</f>
        <v>350</v>
      </c>
      <c r="BX40" s="329">
        <f>IF($F40&gt;0,$BW40*$D$208,"")</f>
        <v>446.24999999999994</v>
      </c>
      <c r="BY40" s="329">
        <f>IF($F40&gt;1,$BX40*$D$209,"")</f>
        <v>568.9687499999999</v>
      </c>
      <c r="BZ40" s="329">
        <f>IF($F40&gt;2,$BY40*$D$210,"")</f>
        <v>725.4351562499997</v>
      </c>
      <c r="CA40" s="329">
        <f>IF($F40&gt;3,$BZ40*$D$211,"")</f>
        <v>924.9298242187497</v>
      </c>
      <c r="CB40" s="329">
        <f>IF($F40&gt;4,$CA40*$D$212,"")</f>
        <v>1179.2855258789057</v>
      </c>
      <c r="CC40" s="329">
        <f>IF($F40&gt;5,$CB40*$D$213,"")</f>
        <v>1503.5890454956045</v>
      </c>
      <c r="CD40" s="329">
        <f>IF($F40&gt;6,$CC40*$D$214,"")</f>
        <v>1917.0760330068956</v>
      </c>
      <c r="CE40" s="485" t="s">
        <v>551</v>
      </c>
      <c r="CF40" s="849" t="s">
        <v>515</v>
      </c>
      <c r="CG40" s="440" t="s">
        <v>1059</v>
      </c>
      <c r="CH40" s="305">
        <v>56953600</v>
      </c>
      <c r="CI40" s="305">
        <f t="shared" si="6"/>
        <v>17086080</v>
      </c>
      <c r="CJ40" s="306">
        <f t="shared" si="7"/>
        <v>39867520</v>
      </c>
      <c r="CK40" s="307" t="e">
        <f>CJ40-#REF!</f>
        <v>#REF!</v>
      </c>
      <c r="CL40" s="592">
        <v>56953600</v>
      </c>
      <c r="CM40" s="21">
        <f t="shared" si="11"/>
        <v>1</v>
      </c>
      <c r="CN40" s="21">
        <f t="shared" si="12"/>
        <v>3.3333333333333335</v>
      </c>
      <c r="CO40" s="54"/>
      <c r="CP40" s="625">
        <f t="shared" si="13"/>
        <v>208.12</v>
      </c>
      <c r="CQ40" s="626">
        <f t="shared" si="14"/>
        <v>163.75</v>
      </c>
      <c r="CR40" s="624" t="str">
        <f t="shared" si="15"/>
        <v>A</v>
      </c>
      <c r="CS40" s="634">
        <f t="shared" si="16"/>
        <v>150</v>
      </c>
      <c r="CT40" s="591">
        <f t="shared" si="8"/>
        <v>13500000</v>
      </c>
      <c r="CU40" s="591">
        <f t="shared" si="9"/>
        <v>187.5</v>
      </c>
      <c r="CV40" s="591">
        <v>15000</v>
      </c>
      <c r="CW40" s="54"/>
      <c r="CX40" s="54"/>
      <c r="CY40" s="54"/>
      <c r="CZ40" s="54"/>
      <c r="DA40" s="54">
        <v>1.6875</v>
      </c>
      <c r="DB40" s="54">
        <v>6.25</v>
      </c>
      <c r="DC40" s="649">
        <f t="shared" si="17"/>
        <v>8.3025</v>
      </c>
    </row>
    <row r="41" spans="1:107" ht="12.75">
      <c r="A41" s="24" t="s">
        <v>1802</v>
      </c>
      <c r="B41" s="117" t="s">
        <v>1806</v>
      </c>
      <c r="C41" s="308" t="s">
        <v>827</v>
      </c>
      <c r="D41" s="356">
        <v>71</v>
      </c>
      <c r="E41" s="357" t="s">
        <v>1807</v>
      </c>
      <c r="F41" s="15">
        <v>6</v>
      </c>
      <c r="G41" s="18">
        <v>4</v>
      </c>
      <c r="H41" s="732">
        <v>7</v>
      </c>
      <c r="I41" s="754">
        <v>5</v>
      </c>
      <c r="J41" s="324">
        <v>4</v>
      </c>
      <c r="K41" s="188">
        <v>2</v>
      </c>
      <c r="L41" s="867">
        <v>475</v>
      </c>
      <c r="M41" s="885">
        <v>1590</v>
      </c>
      <c r="N41" s="106">
        <v>400</v>
      </c>
      <c r="O41" s="454">
        <v>25</v>
      </c>
      <c r="P41" s="531">
        <v>25</v>
      </c>
      <c r="Q41" s="340">
        <v>4324</v>
      </c>
      <c r="R41" s="341">
        <v>645</v>
      </c>
      <c r="S41" s="358">
        <f t="shared" si="0"/>
        <v>2770.8998124133286</v>
      </c>
      <c r="T41" s="352">
        <v>13500</v>
      </c>
      <c r="U41" s="359">
        <v>234000</v>
      </c>
      <c r="V41" s="360">
        <v>15000</v>
      </c>
      <c r="W41" s="361">
        <v>0.615</v>
      </c>
      <c r="X41" s="913">
        <v>4805</v>
      </c>
      <c r="Y41" s="822">
        <v>50</v>
      </c>
      <c r="Z41" s="823">
        <v>80</v>
      </c>
      <c r="AA41" s="823">
        <v>62.5</v>
      </c>
      <c r="AB41" s="824">
        <v>35</v>
      </c>
      <c r="AC41" s="345">
        <v>3363</v>
      </c>
      <c r="AD41" s="362">
        <v>1400</v>
      </c>
      <c r="AE41" s="292">
        <f t="shared" si="20"/>
        <v>2.402142857142857</v>
      </c>
      <c r="AF41" s="46">
        <v>0</v>
      </c>
      <c r="AG41" s="48">
        <v>87.5</v>
      </c>
      <c r="AH41" s="48">
        <v>70</v>
      </c>
      <c r="AI41" s="47">
        <v>20</v>
      </c>
      <c r="AJ41" s="5">
        <f t="shared" si="19"/>
        <v>12492</v>
      </c>
      <c r="AK41" s="103" t="str">
        <f>IF($X41=$AC41,"=",IF(MAX($AC41,$X41)*0.1&gt;ABS($X41-$AC41),"~",IF(MAX($AC41,$X41)=$X41,"A","S")))</f>
        <v>A</v>
      </c>
      <c r="AL41" s="862">
        <v>3375</v>
      </c>
      <c r="AM41" s="458">
        <v>750</v>
      </c>
      <c r="AN41" s="295">
        <f t="shared" si="4"/>
        <v>4.5</v>
      </c>
      <c r="AO41" s="145">
        <v>50</v>
      </c>
      <c r="AP41" s="85" t="s">
        <v>465</v>
      </c>
      <c r="AQ41" s="297">
        <v>210</v>
      </c>
      <c r="AR41" s="33">
        <v>16</v>
      </c>
      <c r="AS41" s="34">
        <v>0</v>
      </c>
      <c r="AT41" s="34">
        <v>0</v>
      </c>
      <c r="AU41" s="73">
        <v>0</v>
      </c>
      <c r="AV41" s="39">
        <v>265</v>
      </c>
      <c r="AW41" s="143">
        <v>150</v>
      </c>
      <c r="AX41" s="33">
        <v>7</v>
      </c>
      <c r="AY41" s="34">
        <v>0</v>
      </c>
      <c r="AZ41" s="34">
        <v>0</v>
      </c>
      <c r="BA41" s="84">
        <v>0</v>
      </c>
      <c r="BB41" s="586">
        <v>3</v>
      </c>
      <c r="BC41" s="590">
        <v>8.13E-07</v>
      </c>
      <c r="BD41" s="588">
        <f t="shared" si="10"/>
        <v>192.18942189421892</v>
      </c>
      <c r="BE41" s="299"/>
      <c r="BF41" s="300"/>
      <c r="BG41" s="112"/>
      <c r="BH41" s="541"/>
      <c r="BI41" s="301">
        <v>2</v>
      </c>
      <c r="BJ41" s="346" t="s">
        <v>1401</v>
      </c>
      <c r="BK41" s="13" t="s">
        <v>1747</v>
      </c>
      <c r="BL41" s="303" t="s">
        <v>245</v>
      </c>
      <c r="BM41" s="86" t="s">
        <v>1092</v>
      </c>
      <c r="BN41" s="303" t="s">
        <v>1174</v>
      </c>
      <c r="BO41" s="86"/>
      <c r="BP41" s="1" t="s">
        <v>1802</v>
      </c>
      <c r="BR41" s="1">
        <v>396</v>
      </c>
      <c r="BS41" s="21">
        <v>22474</v>
      </c>
      <c r="BT41" s="606"/>
      <c r="BU41" s="601">
        <v>5</v>
      </c>
      <c r="BV41" s="601">
        <v>1</v>
      </c>
      <c r="BW41" s="329">
        <f t="shared" si="21"/>
        <v>645</v>
      </c>
      <c r="BX41" s="329">
        <f>IF($F41&gt;0,$BW41*$D$208,"")</f>
        <v>822.3749999999999</v>
      </c>
      <c r="BY41" s="329">
        <f>IF($F41&gt;1,$BX41*$D$209,"")</f>
        <v>1048.5281249999998</v>
      </c>
      <c r="BZ41" s="329">
        <f>IF($F41&gt;2,$BY41*$D$210,"")</f>
        <v>1336.8733593749996</v>
      </c>
      <c r="CA41" s="329">
        <f>IF($F41&gt;3,$BZ41*$D$211,"")</f>
        <v>1704.5135332031243</v>
      </c>
      <c r="CB41" s="329">
        <f>IF($F41&gt;4,$CA41*$D$212,"")</f>
        <v>2173.2547548339835</v>
      </c>
      <c r="CC41" s="329">
        <f>IF($F41&gt;5,$CB41*$D$213,"")</f>
        <v>2770.8998124133286</v>
      </c>
      <c r="CD41" s="329">
        <f>IF($F41&gt;6,$CC41*$D$214,"")</f>
      </c>
      <c r="CE41" s="485" t="s">
        <v>1669</v>
      </c>
      <c r="CF41" s="849" t="s">
        <v>515</v>
      </c>
      <c r="CG41" s="440" t="s">
        <v>419</v>
      </c>
      <c r="CH41" s="305">
        <v>58986600</v>
      </c>
      <c r="CI41" s="305">
        <f t="shared" si="6"/>
        <v>17695980</v>
      </c>
      <c r="CJ41" s="306">
        <f t="shared" si="7"/>
        <v>41290620</v>
      </c>
      <c r="CK41" s="307" t="e">
        <f>CJ41-#REF!</f>
        <v>#REF!</v>
      </c>
      <c r="CL41" s="592">
        <v>58986600</v>
      </c>
      <c r="CM41" s="21">
        <f t="shared" si="11"/>
        <v>1</v>
      </c>
      <c r="CN41" s="21">
        <f t="shared" si="12"/>
        <v>3.3333333333333335</v>
      </c>
      <c r="CO41" s="54"/>
      <c r="CP41" s="625">
        <f t="shared" si="13"/>
        <v>227.5</v>
      </c>
      <c r="CQ41" s="626">
        <f t="shared" si="14"/>
        <v>177.5</v>
      </c>
      <c r="CR41" s="624" t="str">
        <f t="shared" si="15"/>
        <v>A</v>
      </c>
      <c r="CS41" s="634">
        <f t="shared" si="16"/>
        <v>150</v>
      </c>
      <c r="CT41" s="591">
        <f t="shared" si="8"/>
        <v>13500000</v>
      </c>
      <c r="CU41" s="591">
        <f t="shared" si="9"/>
        <v>187.5</v>
      </c>
      <c r="CV41" s="591">
        <v>15000</v>
      </c>
      <c r="CW41" s="54"/>
      <c r="CX41" s="54"/>
      <c r="CY41" s="54"/>
      <c r="CZ41" s="54"/>
      <c r="DA41" s="54">
        <v>1.6875</v>
      </c>
      <c r="DB41" s="54">
        <v>6.25</v>
      </c>
      <c r="DC41" s="649">
        <f t="shared" si="17"/>
        <v>8.3025</v>
      </c>
    </row>
    <row r="42" spans="1:107" ht="12.75">
      <c r="A42" s="24" t="s">
        <v>954</v>
      </c>
      <c r="B42" s="117" t="s">
        <v>955</v>
      </c>
      <c r="C42" s="636" t="s">
        <v>865</v>
      </c>
      <c r="D42" s="356">
        <v>71</v>
      </c>
      <c r="E42" s="357" t="s">
        <v>1807</v>
      </c>
      <c r="F42" s="15">
        <v>5</v>
      </c>
      <c r="G42" s="18">
        <v>5</v>
      </c>
      <c r="H42" s="17">
        <v>7</v>
      </c>
      <c r="I42" s="755">
        <v>6</v>
      </c>
      <c r="J42" s="324">
        <v>1</v>
      </c>
      <c r="K42" s="188">
        <v>2</v>
      </c>
      <c r="L42" s="867">
        <v>555</v>
      </c>
      <c r="M42" s="885">
        <v>710</v>
      </c>
      <c r="N42" s="106">
        <v>400</v>
      </c>
      <c r="O42" s="454">
        <v>25</v>
      </c>
      <c r="P42" s="531">
        <v>25</v>
      </c>
      <c r="Q42" s="340">
        <v>3844</v>
      </c>
      <c r="R42" s="341">
        <v>700</v>
      </c>
      <c r="S42" s="358">
        <f>MAX($BW42:$CD42)</f>
        <v>2358.5710517578113</v>
      </c>
      <c r="T42" s="352">
        <v>14010</v>
      </c>
      <c r="U42" s="359">
        <v>252000</v>
      </c>
      <c r="V42" s="360">
        <v>15000</v>
      </c>
      <c r="W42" s="361">
        <v>0.55</v>
      </c>
      <c r="X42" s="153">
        <v>3363</v>
      </c>
      <c r="Y42" s="46">
        <v>50</v>
      </c>
      <c r="Z42" s="48">
        <v>10</v>
      </c>
      <c r="AA42" s="48">
        <v>53.12</v>
      </c>
      <c r="AB42" s="50">
        <v>79.37</v>
      </c>
      <c r="AC42" s="345">
        <v>4805</v>
      </c>
      <c r="AD42" s="362">
        <v>1400</v>
      </c>
      <c r="AE42" s="292">
        <f t="shared" si="20"/>
        <v>3.432142857142857</v>
      </c>
      <c r="AF42" s="819">
        <v>0</v>
      </c>
      <c r="AG42" s="820">
        <v>50</v>
      </c>
      <c r="AH42" s="820">
        <v>62.5</v>
      </c>
      <c r="AI42" s="825">
        <v>70</v>
      </c>
      <c r="AJ42" s="5">
        <f t="shared" si="19"/>
        <v>12012</v>
      </c>
      <c r="AK42" s="331" t="s">
        <v>931</v>
      </c>
      <c r="AL42" s="862">
        <v>3000</v>
      </c>
      <c r="AM42" s="458">
        <v>666.67</v>
      </c>
      <c r="AN42" s="295">
        <f t="shared" si="4"/>
        <v>4.499977500112499</v>
      </c>
      <c r="AO42" s="145">
        <v>60</v>
      </c>
      <c r="AP42" s="85" t="s">
        <v>990</v>
      </c>
      <c r="AQ42" s="297">
        <v>195</v>
      </c>
      <c r="AR42" s="33">
        <v>0</v>
      </c>
      <c r="AS42" s="34">
        <v>19</v>
      </c>
      <c r="AT42" s="34">
        <v>0</v>
      </c>
      <c r="AU42" s="73">
        <v>0</v>
      </c>
      <c r="AV42" s="39">
        <v>285</v>
      </c>
      <c r="AW42" s="143">
        <v>140</v>
      </c>
      <c r="AX42" s="33">
        <v>0</v>
      </c>
      <c r="AY42" s="34">
        <v>6</v>
      </c>
      <c r="AZ42" s="34">
        <v>0</v>
      </c>
      <c r="BA42" s="84">
        <v>0</v>
      </c>
      <c r="BB42" s="586">
        <v>3</v>
      </c>
      <c r="BC42" s="590">
        <v>8.13E-07</v>
      </c>
      <c r="BD42" s="588">
        <f t="shared" si="10"/>
        <v>164.61620718990918</v>
      </c>
      <c r="BE42" s="299"/>
      <c r="BF42" s="300"/>
      <c r="BG42" s="112"/>
      <c r="BH42" s="541"/>
      <c r="BI42" s="301">
        <v>1</v>
      </c>
      <c r="BJ42" s="346" t="s">
        <v>1401</v>
      </c>
      <c r="BK42" s="13" t="s">
        <v>1747</v>
      </c>
      <c r="BL42" s="303" t="s">
        <v>938</v>
      </c>
      <c r="BM42" s="86" t="s">
        <v>1453</v>
      </c>
      <c r="BN42" s="303" t="s">
        <v>1232</v>
      </c>
      <c r="BO42" s="86"/>
      <c r="BP42" s="1" t="s">
        <v>1115</v>
      </c>
      <c r="BR42" s="1">
        <v>726</v>
      </c>
      <c r="BS42" s="21">
        <v>22470</v>
      </c>
      <c r="BT42" s="606"/>
      <c r="BU42" s="601">
        <v>7.5</v>
      </c>
      <c r="BV42" s="601">
        <v>1</v>
      </c>
      <c r="BW42" s="329">
        <f t="shared" si="21"/>
        <v>700</v>
      </c>
      <c r="BX42" s="329">
        <f>IF($F42&gt;0,$BW42*$D$208,"")</f>
        <v>892.4999999999999</v>
      </c>
      <c r="BY42" s="329">
        <f>IF($F42&gt;1,$BX42*$D$209,"")</f>
        <v>1137.9374999999998</v>
      </c>
      <c r="BZ42" s="329">
        <f>IF($F42&gt;2,$BY42*$D$210,"")</f>
        <v>1450.8703124999995</v>
      </c>
      <c r="CA42" s="329">
        <f>IF($F42&gt;3,$BZ42*$D$211,"")</f>
        <v>1849.8596484374993</v>
      </c>
      <c r="CB42" s="329">
        <f>IF($F42&gt;4,$CA42*$D$212,"")</f>
        <v>2358.5710517578113</v>
      </c>
      <c r="CC42" s="329">
        <f>IF($F42&gt;5,$CB42*$D$213,"")</f>
      </c>
      <c r="CD42" s="329">
        <f>IF($F42&gt;6,$CC42*$D$214,"")</f>
      </c>
      <c r="CE42" s="485" t="s">
        <v>836</v>
      </c>
      <c r="CF42" s="849" t="s">
        <v>515</v>
      </c>
      <c r="CG42" s="440" t="s">
        <v>1334</v>
      </c>
      <c r="CH42" s="305">
        <v>58533600</v>
      </c>
      <c r="CI42" s="305">
        <f t="shared" si="6"/>
        <v>17560080</v>
      </c>
      <c r="CJ42" s="306">
        <f t="shared" si="7"/>
        <v>40973520</v>
      </c>
      <c r="CK42" s="307" t="e">
        <f>CJ42-#REF!</f>
        <v>#REF!</v>
      </c>
      <c r="CL42" s="592">
        <v>58533600</v>
      </c>
      <c r="CM42" s="21">
        <f t="shared" si="11"/>
        <v>1</v>
      </c>
      <c r="CN42" s="21">
        <f t="shared" si="12"/>
        <v>3.3333333333333335</v>
      </c>
      <c r="CO42" s="54"/>
      <c r="CP42" s="622">
        <f t="shared" si="13"/>
        <v>192.49</v>
      </c>
      <c r="CQ42" s="623">
        <f t="shared" si="14"/>
        <v>182.5</v>
      </c>
      <c r="CR42" s="624" t="str">
        <f t="shared" si="15"/>
        <v>S</v>
      </c>
      <c r="CS42" s="634">
        <f t="shared" si="16"/>
        <v>140</v>
      </c>
      <c r="CT42" s="591">
        <f t="shared" si="8"/>
        <v>14010000</v>
      </c>
      <c r="CU42" s="591">
        <f t="shared" si="9"/>
        <v>175</v>
      </c>
      <c r="CV42" s="591">
        <v>15000</v>
      </c>
      <c r="CW42" s="54"/>
      <c r="CX42" s="54"/>
      <c r="CY42" s="54"/>
      <c r="CZ42" s="54"/>
      <c r="DA42" s="54">
        <v>1.6875</v>
      </c>
      <c r="DB42" s="54">
        <v>6.25</v>
      </c>
      <c r="DC42" s="649">
        <f t="shared" si="17"/>
        <v>7.705500000000001</v>
      </c>
    </row>
    <row r="43" spans="1:107" ht="12.75">
      <c r="A43" s="24" t="s">
        <v>778</v>
      </c>
      <c r="B43" s="117" t="s">
        <v>955</v>
      </c>
      <c r="C43" s="636" t="s">
        <v>865</v>
      </c>
      <c r="D43" s="356">
        <v>71</v>
      </c>
      <c r="E43" s="357" t="s">
        <v>1807</v>
      </c>
      <c r="F43" s="15">
        <v>4</v>
      </c>
      <c r="G43" s="18">
        <v>6</v>
      </c>
      <c r="H43" s="732">
        <v>7</v>
      </c>
      <c r="I43" s="323">
        <v>5</v>
      </c>
      <c r="J43" s="737">
        <v>5</v>
      </c>
      <c r="K43" s="188">
        <v>2</v>
      </c>
      <c r="L43" s="867">
        <v>545</v>
      </c>
      <c r="M43" s="885">
        <v>1275</v>
      </c>
      <c r="N43" s="106">
        <v>400</v>
      </c>
      <c r="O43" s="454">
        <v>25</v>
      </c>
      <c r="P43" s="531">
        <v>25</v>
      </c>
      <c r="Q43" s="340">
        <v>3844</v>
      </c>
      <c r="R43" s="341">
        <v>345</v>
      </c>
      <c r="S43" s="358">
        <f t="shared" si="0"/>
        <v>911.7165410156248</v>
      </c>
      <c r="T43" s="352">
        <v>14010</v>
      </c>
      <c r="U43" s="359">
        <v>252000</v>
      </c>
      <c r="V43" s="360">
        <v>15000</v>
      </c>
      <c r="W43" s="361">
        <v>0.55</v>
      </c>
      <c r="X43" s="153">
        <v>3363</v>
      </c>
      <c r="Y43" s="46">
        <v>50</v>
      </c>
      <c r="Z43" s="48">
        <v>10</v>
      </c>
      <c r="AA43" s="48">
        <v>62.5</v>
      </c>
      <c r="AB43" s="50">
        <v>86.25</v>
      </c>
      <c r="AC43" s="345">
        <v>4805</v>
      </c>
      <c r="AD43" s="362">
        <v>1400</v>
      </c>
      <c r="AE43" s="292">
        <f t="shared" si="20"/>
        <v>3.432142857142857</v>
      </c>
      <c r="AF43" s="822">
        <v>0</v>
      </c>
      <c r="AG43" s="823">
        <v>50</v>
      </c>
      <c r="AH43" s="823">
        <v>70</v>
      </c>
      <c r="AI43" s="826">
        <v>80</v>
      </c>
      <c r="AJ43" s="5">
        <f t="shared" si="19"/>
        <v>12012</v>
      </c>
      <c r="AK43" s="103" t="str">
        <f>IF($X43=$AC43,"=",IF(MAX($AC43,$X43)*0.1&gt;ABS($X43-$AC43),"~",IF(MAX($AC43,$X43)=$X43,"A","S")))</f>
        <v>S</v>
      </c>
      <c r="AL43" s="862">
        <v>3000</v>
      </c>
      <c r="AM43" s="458">
        <v>666.67</v>
      </c>
      <c r="AN43" s="295">
        <f t="shared" si="4"/>
        <v>4.499977500112499</v>
      </c>
      <c r="AO43" s="145">
        <v>75</v>
      </c>
      <c r="AP43" s="85" t="s">
        <v>990</v>
      </c>
      <c r="AQ43" s="297">
        <v>195</v>
      </c>
      <c r="AR43" s="33">
        <v>0</v>
      </c>
      <c r="AS43" s="34">
        <v>19</v>
      </c>
      <c r="AT43" s="34">
        <v>0</v>
      </c>
      <c r="AU43" s="73">
        <v>0</v>
      </c>
      <c r="AV43" s="39">
        <v>285</v>
      </c>
      <c r="AW43" s="143">
        <v>140</v>
      </c>
      <c r="AX43" s="33">
        <v>0</v>
      </c>
      <c r="AY43" s="34">
        <v>6</v>
      </c>
      <c r="AZ43" s="34">
        <v>0</v>
      </c>
      <c r="BA43" s="84">
        <v>0</v>
      </c>
      <c r="BB43" s="586">
        <v>3</v>
      </c>
      <c r="BC43" s="590">
        <v>8.13E-07</v>
      </c>
      <c r="BD43" s="588">
        <f t="shared" si="10"/>
        <v>164.61620718990918</v>
      </c>
      <c r="BE43" s="299"/>
      <c r="BF43" s="300"/>
      <c r="BG43" s="112"/>
      <c r="BH43" s="541"/>
      <c r="BI43" s="301">
        <v>2</v>
      </c>
      <c r="BJ43" s="346" t="s">
        <v>1401</v>
      </c>
      <c r="BK43" s="13" t="s">
        <v>64</v>
      </c>
      <c r="BL43" s="303" t="s">
        <v>124</v>
      </c>
      <c r="BM43" s="86" t="s">
        <v>549</v>
      </c>
      <c r="BN43" s="303" t="s">
        <v>1080</v>
      </c>
      <c r="BO43" s="86"/>
      <c r="BP43" s="1" t="s">
        <v>550</v>
      </c>
      <c r="BR43" s="1">
        <v>726</v>
      </c>
      <c r="BS43" s="21">
        <v>22446</v>
      </c>
      <c r="BT43" s="606"/>
      <c r="BU43" s="601">
        <v>5</v>
      </c>
      <c r="BV43" s="601">
        <v>1</v>
      </c>
      <c r="BW43" s="329">
        <f t="shared" si="21"/>
        <v>345</v>
      </c>
      <c r="BX43" s="329">
        <f>IF($F43&gt;0,$BW43*$D$208,"")</f>
        <v>439.87499999999994</v>
      </c>
      <c r="BY43" s="329">
        <f>IF($F43&gt;1,$BX43*$D$209,"")</f>
        <v>560.8406249999999</v>
      </c>
      <c r="BZ43" s="329">
        <f>IF($F43&gt;2,$BY43*$D$210,"")</f>
        <v>715.0717968749999</v>
      </c>
      <c r="CA43" s="329">
        <f>IF($F43&gt;3,$BZ43*$D$211,"")</f>
        <v>911.7165410156248</v>
      </c>
      <c r="CB43" s="329">
        <f>IF($F43&gt;4,$CA43*$D$212,"")</f>
      </c>
      <c r="CC43" s="329">
        <f>IF($F43&gt;5,$CB43*$D$213,"")</f>
      </c>
      <c r="CD43" s="329">
        <f>IF($F43&gt;6,$CC43*$D$214,"")</f>
      </c>
      <c r="CE43" s="485" t="s">
        <v>188</v>
      </c>
      <c r="CF43" s="849" t="s">
        <v>515</v>
      </c>
      <c r="CG43" s="440" t="s">
        <v>1335</v>
      </c>
      <c r="CH43" s="305">
        <v>57182600</v>
      </c>
      <c r="CI43" s="305">
        <f t="shared" si="6"/>
        <v>17154780</v>
      </c>
      <c r="CJ43" s="306">
        <f t="shared" si="7"/>
        <v>40027820</v>
      </c>
      <c r="CK43" s="307" t="e">
        <f>CJ43-#REF!</f>
        <v>#REF!</v>
      </c>
      <c r="CL43" s="592">
        <v>57182600</v>
      </c>
      <c r="CM43" s="21">
        <f t="shared" si="11"/>
        <v>1</v>
      </c>
      <c r="CN43" s="21">
        <f t="shared" si="12"/>
        <v>3.3333333333333335</v>
      </c>
      <c r="CO43" s="54"/>
      <c r="CP43" s="622">
        <f t="shared" si="13"/>
        <v>208.75</v>
      </c>
      <c r="CQ43" s="623">
        <f t="shared" si="14"/>
        <v>200</v>
      </c>
      <c r="CR43" s="624" t="str">
        <f t="shared" si="15"/>
        <v>S</v>
      </c>
      <c r="CS43" s="634">
        <f t="shared" si="16"/>
        <v>140</v>
      </c>
      <c r="CT43" s="591">
        <f t="shared" si="8"/>
        <v>14010000</v>
      </c>
      <c r="CU43" s="591">
        <f t="shared" si="9"/>
        <v>175</v>
      </c>
      <c r="CV43" s="591">
        <v>15000</v>
      </c>
      <c r="CW43" s="54"/>
      <c r="CX43" s="54"/>
      <c r="CY43" s="54"/>
      <c r="CZ43" s="54"/>
      <c r="DA43" s="54">
        <v>1.6875</v>
      </c>
      <c r="DB43" s="54">
        <v>6.25</v>
      </c>
      <c r="DC43" s="649">
        <f t="shared" si="17"/>
        <v>7.705500000000001</v>
      </c>
    </row>
    <row r="44" spans="1:107" ht="12.75">
      <c r="A44" s="24" t="s">
        <v>552</v>
      </c>
      <c r="B44" s="117" t="s">
        <v>553</v>
      </c>
      <c r="C44" s="315" t="s">
        <v>1042</v>
      </c>
      <c r="D44" s="356">
        <v>71</v>
      </c>
      <c r="E44" s="357" t="s">
        <v>1807</v>
      </c>
      <c r="F44" s="15">
        <v>6</v>
      </c>
      <c r="G44" s="18">
        <v>4</v>
      </c>
      <c r="H44" s="17">
        <v>7</v>
      </c>
      <c r="I44" s="323">
        <v>0</v>
      </c>
      <c r="J44" s="186">
        <v>7</v>
      </c>
      <c r="K44" s="188">
        <v>2</v>
      </c>
      <c r="L44" s="867">
        <v>440</v>
      </c>
      <c r="M44" s="885">
        <v>1450</v>
      </c>
      <c r="N44" s="106">
        <v>400</v>
      </c>
      <c r="O44" s="454">
        <v>50</v>
      </c>
      <c r="P44" s="531">
        <v>50</v>
      </c>
      <c r="Q44" s="340">
        <v>4805</v>
      </c>
      <c r="R44" s="341">
        <v>400</v>
      </c>
      <c r="S44" s="358">
        <f t="shared" si="0"/>
        <v>1718.3874805664054</v>
      </c>
      <c r="T44" s="352">
        <v>13250</v>
      </c>
      <c r="U44" s="359">
        <v>270000</v>
      </c>
      <c r="V44" s="360">
        <v>15000</v>
      </c>
      <c r="W44" s="361">
        <v>0.615</v>
      </c>
      <c r="X44" s="917">
        <v>4324</v>
      </c>
      <c r="Y44" s="46">
        <v>50</v>
      </c>
      <c r="Z44" s="48">
        <v>10</v>
      </c>
      <c r="AA44" s="48">
        <v>75.62</v>
      </c>
      <c r="AB44" s="50">
        <v>59.37</v>
      </c>
      <c r="AC44" s="345">
        <v>3844</v>
      </c>
      <c r="AD44" s="362">
        <v>1400</v>
      </c>
      <c r="AE44" s="292">
        <f t="shared" si="20"/>
        <v>2.7457142857142856</v>
      </c>
      <c r="AF44" s="46">
        <v>0</v>
      </c>
      <c r="AG44" s="48">
        <v>50</v>
      </c>
      <c r="AH44" s="48">
        <v>77.5</v>
      </c>
      <c r="AI44" s="47">
        <v>50</v>
      </c>
      <c r="AJ44" s="5">
        <f t="shared" si="19"/>
        <v>12973</v>
      </c>
      <c r="AK44" s="103" t="str">
        <f aca="true" t="shared" si="22" ref="AK44:AK55">IF($X44=$AC44,"=",IF(MAX($AC44,$X44)*0.1&gt;ABS($X44-$AC44),"~",IF(MAX($AC44,$X44)=$X44,"A","S")))</f>
        <v>A</v>
      </c>
      <c r="AL44" s="862">
        <v>2812</v>
      </c>
      <c r="AM44" s="458">
        <v>625</v>
      </c>
      <c r="AN44" s="295">
        <f t="shared" si="4"/>
        <v>4.4992</v>
      </c>
      <c r="AO44" s="145">
        <v>55</v>
      </c>
      <c r="AP44" s="85" t="s">
        <v>462</v>
      </c>
      <c r="AQ44" s="297">
        <v>200</v>
      </c>
      <c r="AR44" s="33">
        <v>0</v>
      </c>
      <c r="AS44" s="34">
        <v>0</v>
      </c>
      <c r="AT44" s="34">
        <v>18</v>
      </c>
      <c r="AU44" s="73">
        <v>0</v>
      </c>
      <c r="AV44" s="39">
        <v>300</v>
      </c>
      <c r="AW44" s="143">
        <v>145</v>
      </c>
      <c r="AX44" s="33">
        <v>0</v>
      </c>
      <c r="AY44" s="34">
        <v>0</v>
      </c>
      <c r="AZ44" s="34">
        <v>7</v>
      </c>
      <c r="BA44" s="84">
        <v>0</v>
      </c>
      <c r="BB44" s="586">
        <v>3</v>
      </c>
      <c r="BC44" s="590">
        <v>8.13E-07</v>
      </c>
      <c r="BD44" s="588">
        <f t="shared" si="10"/>
        <v>163.1506881106547</v>
      </c>
      <c r="BE44" s="299"/>
      <c r="BF44" s="300"/>
      <c r="BG44" s="112"/>
      <c r="BH44" s="541"/>
      <c r="BI44" s="301">
        <v>1</v>
      </c>
      <c r="BJ44" s="346" t="s">
        <v>1401</v>
      </c>
      <c r="BK44" s="13" t="s">
        <v>64</v>
      </c>
      <c r="BL44" s="303" t="s">
        <v>758</v>
      </c>
      <c r="BM44" s="86" t="s">
        <v>1312</v>
      </c>
      <c r="BN44" s="303" t="s">
        <v>1081</v>
      </c>
      <c r="BO44" s="86"/>
      <c r="BP44" s="1" t="s">
        <v>1668</v>
      </c>
      <c r="BR44" s="1">
        <v>466</v>
      </c>
      <c r="BS44" s="21">
        <v>22466</v>
      </c>
      <c r="BT44" s="606"/>
      <c r="BU44" s="601">
        <v>10.5</v>
      </c>
      <c r="BV44" s="601">
        <v>2</v>
      </c>
      <c r="BW44" s="329">
        <f t="shared" si="21"/>
        <v>400</v>
      </c>
      <c r="BX44" s="329">
        <f>IF($F44&gt;0,$BW44*$D$208,"")</f>
        <v>509.99999999999994</v>
      </c>
      <c r="BY44" s="329">
        <f>IF($F44&gt;1,$BX44*$D$209,"")</f>
        <v>650.2499999999999</v>
      </c>
      <c r="BZ44" s="329">
        <f>IF($F44&gt;2,$BY44*$D$210,"")</f>
        <v>829.0687499999998</v>
      </c>
      <c r="CA44" s="329">
        <f>IF($F44&gt;3,$BZ44*$D$211,"")</f>
        <v>1057.0626562499997</v>
      </c>
      <c r="CB44" s="329">
        <f>IF($F44&gt;4,$CA44*$D$212,"")</f>
        <v>1347.7548867187495</v>
      </c>
      <c r="CC44" s="329">
        <f>IF($F44&gt;5,$CB44*$D$213,"")</f>
        <v>1718.3874805664054</v>
      </c>
      <c r="CD44" s="329">
        <f>IF($F44&gt;6,$CC44*$D$214,"")</f>
      </c>
      <c r="CE44" s="485" t="s">
        <v>1457</v>
      </c>
      <c r="CF44" s="849" t="s">
        <v>515</v>
      </c>
      <c r="CG44" s="440" t="s">
        <v>1336</v>
      </c>
      <c r="CH44" s="305">
        <v>59062600</v>
      </c>
      <c r="CI44" s="305">
        <f t="shared" si="6"/>
        <v>17718780</v>
      </c>
      <c r="CJ44" s="306">
        <f t="shared" si="7"/>
        <v>41343820</v>
      </c>
      <c r="CK44" s="307" t="e">
        <f>CJ44-#REF!</f>
        <v>#REF!</v>
      </c>
      <c r="CL44" s="592">
        <v>59062600</v>
      </c>
      <c r="CM44" s="21">
        <f t="shared" si="11"/>
        <v>1</v>
      </c>
      <c r="CN44" s="21">
        <f t="shared" si="12"/>
        <v>3.3333333333333335</v>
      </c>
      <c r="CO44" s="54"/>
      <c r="CP44" s="625">
        <f t="shared" si="13"/>
        <v>194.99</v>
      </c>
      <c r="CQ44" s="626">
        <f t="shared" si="14"/>
        <v>177.5</v>
      </c>
      <c r="CR44" s="624" t="str">
        <f t="shared" si="15"/>
        <v>A</v>
      </c>
      <c r="CS44" s="634">
        <f t="shared" si="16"/>
        <v>145</v>
      </c>
      <c r="CT44" s="591">
        <f t="shared" si="8"/>
        <v>13250000</v>
      </c>
      <c r="CU44" s="591">
        <f t="shared" si="9"/>
        <v>181.25</v>
      </c>
      <c r="CV44" s="591">
        <v>15000</v>
      </c>
      <c r="CW44" s="54"/>
      <c r="CX44" s="54"/>
      <c r="CY44" s="54"/>
      <c r="CZ44" s="54"/>
      <c r="DA44" s="54">
        <v>1.6875</v>
      </c>
      <c r="DB44" s="54">
        <v>6.25</v>
      </c>
      <c r="DC44" s="649">
        <f t="shared" si="17"/>
        <v>8.14875</v>
      </c>
    </row>
    <row r="45" spans="1:107" ht="12.75">
      <c r="A45" s="24" t="s">
        <v>1670</v>
      </c>
      <c r="B45" s="117" t="s">
        <v>553</v>
      </c>
      <c r="C45" s="315" t="s">
        <v>1042</v>
      </c>
      <c r="D45" s="356">
        <v>71</v>
      </c>
      <c r="E45" s="357" t="s">
        <v>1807</v>
      </c>
      <c r="F45" s="15">
        <v>6</v>
      </c>
      <c r="G45" s="18">
        <v>4</v>
      </c>
      <c r="H45" s="802">
        <v>7</v>
      </c>
      <c r="I45" s="323">
        <v>0</v>
      </c>
      <c r="J45" s="186">
        <v>5</v>
      </c>
      <c r="K45" s="188">
        <v>2</v>
      </c>
      <c r="L45" s="867">
        <v>450</v>
      </c>
      <c r="M45" s="885">
        <v>1425</v>
      </c>
      <c r="N45" s="106">
        <v>400</v>
      </c>
      <c r="O45" s="809">
        <v>150</v>
      </c>
      <c r="P45" s="531">
        <v>75</v>
      </c>
      <c r="Q45" s="340">
        <v>4805</v>
      </c>
      <c r="R45" s="341">
        <v>400</v>
      </c>
      <c r="S45" s="358">
        <f t="shared" si="0"/>
        <v>1718.3874805664054</v>
      </c>
      <c r="T45" s="352">
        <v>13250</v>
      </c>
      <c r="U45" s="359">
        <v>270000</v>
      </c>
      <c r="V45" s="360">
        <v>15000</v>
      </c>
      <c r="W45" s="361">
        <v>0.615</v>
      </c>
      <c r="X45" s="918">
        <v>4324</v>
      </c>
      <c r="Y45" s="46">
        <v>50</v>
      </c>
      <c r="Z45" s="48">
        <v>10</v>
      </c>
      <c r="AA45" s="48">
        <v>83.75</v>
      </c>
      <c r="AB45" s="50">
        <v>67.5</v>
      </c>
      <c r="AC45" s="345">
        <v>3844</v>
      </c>
      <c r="AD45" s="362">
        <v>1400</v>
      </c>
      <c r="AE45" s="292">
        <f t="shared" si="20"/>
        <v>2.7457142857142856</v>
      </c>
      <c r="AF45" s="46">
        <v>0</v>
      </c>
      <c r="AG45" s="48">
        <v>50</v>
      </c>
      <c r="AH45" s="48">
        <v>85</v>
      </c>
      <c r="AI45" s="47">
        <v>60</v>
      </c>
      <c r="AJ45" s="5">
        <f t="shared" si="19"/>
        <v>12973</v>
      </c>
      <c r="AK45" s="103" t="str">
        <f t="shared" si="22"/>
        <v>A</v>
      </c>
      <c r="AL45" s="862">
        <v>2812</v>
      </c>
      <c r="AM45" s="458">
        <v>625</v>
      </c>
      <c r="AN45" s="295">
        <f t="shared" si="4"/>
        <v>4.4992</v>
      </c>
      <c r="AO45" s="145">
        <v>55</v>
      </c>
      <c r="AP45" s="85" t="s">
        <v>462</v>
      </c>
      <c r="AQ45" s="297">
        <v>200</v>
      </c>
      <c r="AR45" s="33">
        <v>0</v>
      </c>
      <c r="AS45" s="34">
        <v>0</v>
      </c>
      <c r="AT45" s="34">
        <v>18</v>
      </c>
      <c r="AU45" s="73">
        <v>0</v>
      </c>
      <c r="AV45" s="39">
        <v>300</v>
      </c>
      <c r="AW45" s="143">
        <v>145</v>
      </c>
      <c r="AX45" s="33">
        <v>0</v>
      </c>
      <c r="AY45" s="34">
        <v>0</v>
      </c>
      <c r="AZ45" s="34">
        <v>7</v>
      </c>
      <c r="BA45" s="84">
        <v>0</v>
      </c>
      <c r="BB45" s="586">
        <v>3</v>
      </c>
      <c r="BC45" s="590">
        <v>8.13E-07</v>
      </c>
      <c r="BD45" s="588">
        <f t="shared" si="10"/>
        <v>163.1506881106547</v>
      </c>
      <c r="BE45" s="299"/>
      <c r="BF45" s="300"/>
      <c r="BG45" s="112"/>
      <c r="BH45" s="541"/>
      <c r="BI45" s="301">
        <v>2</v>
      </c>
      <c r="BJ45" s="346" t="s">
        <v>1401</v>
      </c>
      <c r="BK45" s="13" t="s">
        <v>1762</v>
      </c>
      <c r="BL45" s="303" t="s">
        <v>1377</v>
      </c>
      <c r="BM45" s="86" t="s">
        <v>1254</v>
      </c>
      <c r="BN45" s="303" t="s">
        <v>1082</v>
      </c>
      <c r="BO45" s="86"/>
      <c r="BP45" s="1" t="s">
        <v>1442</v>
      </c>
      <c r="BR45" s="1">
        <v>532</v>
      </c>
      <c r="BS45" s="21">
        <v>22442</v>
      </c>
      <c r="BT45" s="606"/>
      <c r="BU45" s="601">
        <v>6.25</v>
      </c>
      <c r="BV45" s="601">
        <v>3</v>
      </c>
      <c r="BW45" s="329">
        <f t="shared" si="21"/>
        <v>400</v>
      </c>
      <c r="BX45" s="329">
        <f>IF($F45&gt;0,$BW45*$D$208,"")</f>
        <v>509.99999999999994</v>
      </c>
      <c r="BY45" s="329">
        <f>IF($F45&gt;1,$BX45*$D$209,"")</f>
        <v>650.2499999999999</v>
      </c>
      <c r="BZ45" s="329">
        <f>IF($F45&gt;2,$BY45*$D$210,"")</f>
        <v>829.0687499999998</v>
      </c>
      <c r="CA45" s="329">
        <f>IF($F45&gt;3,$BZ45*$D$211,"")</f>
        <v>1057.0626562499997</v>
      </c>
      <c r="CB45" s="329">
        <f>IF($F45&gt;4,$CA45*$D$212,"")</f>
        <v>1347.7548867187495</v>
      </c>
      <c r="CC45" s="329">
        <f>IF($F45&gt;5,$CB45*$D$213,"")</f>
        <v>1718.3874805664054</v>
      </c>
      <c r="CD45" s="329">
        <f>IF($F45&gt;6,$CC45*$D$214,"")</f>
      </c>
      <c r="CE45" s="485" t="s">
        <v>63</v>
      </c>
      <c r="CF45" s="849" t="s">
        <v>515</v>
      </c>
      <c r="CG45" s="440" t="s">
        <v>959</v>
      </c>
      <c r="CH45" s="305">
        <v>59965600</v>
      </c>
      <c r="CI45" s="305">
        <f t="shared" si="6"/>
        <v>17989680</v>
      </c>
      <c r="CJ45" s="306">
        <f t="shared" si="7"/>
        <v>41975920</v>
      </c>
      <c r="CK45" s="307" t="e">
        <f>CJ45-#REF!</f>
        <v>#REF!</v>
      </c>
      <c r="CL45" s="592">
        <v>59965600</v>
      </c>
      <c r="CM45" s="21">
        <f t="shared" si="11"/>
        <v>1</v>
      </c>
      <c r="CN45" s="21">
        <f t="shared" si="12"/>
        <v>3.3333333333333335</v>
      </c>
      <c r="CO45" s="54"/>
      <c r="CP45" s="625">
        <f t="shared" si="13"/>
        <v>211.25</v>
      </c>
      <c r="CQ45" s="626">
        <f t="shared" si="14"/>
        <v>195</v>
      </c>
      <c r="CR45" s="624" t="str">
        <f t="shared" si="15"/>
        <v>A</v>
      </c>
      <c r="CS45" s="634">
        <f t="shared" si="16"/>
        <v>145</v>
      </c>
      <c r="CT45" s="591">
        <f t="shared" si="8"/>
        <v>13250000</v>
      </c>
      <c r="CU45" s="591">
        <f t="shared" si="9"/>
        <v>181.25</v>
      </c>
      <c r="CV45" s="591">
        <v>15000</v>
      </c>
      <c r="CW45" s="54"/>
      <c r="CX45" s="54"/>
      <c r="CY45" s="54"/>
      <c r="CZ45" s="54"/>
      <c r="DA45" s="54">
        <v>1.6875</v>
      </c>
      <c r="DB45" s="54">
        <v>6.25</v>
      </c>
      <c r="DC45" s="649">
        <f t="shared" si="17"/>
        <v>8.14875</v>
      </c>
    </row>
    <row r="46" spans="1:107" ht="12.75">
      <c r="A46" s="24" t="s">
        <v>837</v>
      </c>
      <c r="B46" s="117" t="s">
        <v>838</v>
      </c>
      <c r="C46" s="319" t="s">
        <v>99</v>
      </c>
      <c r="D46" s="356">
        <v>71</v>
      </c>
      <c r="E46" s="357" t="s">
        <v>1807</v>
      </c>
      <c r="F46" s="15">
        <v>4</v>
      </c>
      <c r="G46" s="18">
        <v>6</v>
      </c>
      <c r="H46" s="803">
        <v>8</v>
      </c>
      <c r="I46" s="323">
        <v>3</v>
      </c>
      <c r="J46" s="186">
        <v>5</v>
      </c>
      <c r="K46" s="188">
        <v>2</v>
      </c>
      <c r="L46" s="867">
        <v>515</v>
      </c>
      <c r="M46" s="885">
        <v>1390</v>
      </c>
      <c r="N46" s="106">
        <v>400</v>
      </c>
      <c r="O46" s="454">
        <v>40</v>
      </c>
      <c r="P46" s="531">
        <v>40</v>
      </c>
      <c r="Q46" s="340">
        <v>3363</v>
      </c>
      <c r="R46" s="341">
        <v>457</v>
      </c>
      <c r="S46" s="358">
        <f t="shared" si="0"/>
        <v>1207.6940847656247</v>
      </c>
      <c r="T46" s="352">
        <v>12500</v>
      </c>
      <c r="U46" s="359">
        <v>216000</v>
      </c>
      <c r="V46" s="360">
        <v>15000</v>
      </c>
      <c r="W46" s="361">
        <v>0.615</v>
      </c>
      <c r="X46" s="153">
        <v>3844</v>
      </c>
      <c r="Y46" s="46">
        <v>90</v>
      </c>
      <c r="Z46" s="48">
        <v>10</v>
      </c>
      <c r="AA46" s="48">
        <v>25</v>
      </c>
      <c r="AB46" s="50">
        <v>67.5</v>
      </c>
      <c r="AC46" s="921">
        <v>4324</v>
      </c>
      <c r="AD46" s="362">
        <v>1400</v>
      </c>
      <c r="AE46" s="292">
        <f t="shared" si="20"/>
        <v>3.0885714285714285</v>
      </c>
      <c r="AF46" s="46">
        <v>75</v>
      </c>
      <c r="AG46" s="48">
        <v>50</v>
      </c>
      <c r="AH46" s="48">
        <v>40</v>
      </c>
      <c r="AI46" s="47">
        <v>60</v>
      </c>
      <c r="AJ46" s="5">
        <f t="shared" si="19"/>
        <v>11531</v>
      </c>
      <c r="AK46" s="103" t="str">
        <f t="shared" si="22"/>
        <v>S</v>
      </c>
      <c r="AL46" s="862">
        <v>2625</v>
      </c>
      <c r="AM46" s="458">
        <v>583.33</v>
      </c>
      <c r="AN46" s="295">
        <f t="shared" si="4"/>
        <v>4.500025714432653</v>
      </c>
      <c r="AO46" s="145">
        <v>45</v>
      </c>
      <c r="AP46" s="85" t="s">
        <v>465</v>
      </c>
      <c r="AQ46" s="297">
        <v>220</v>
      </c>
      <c r="AR46" s="33">
        <v>0</v>
      </c>
      <c r="AS46" s="34">
        <v>0</v>
      </c>
      <c r="AT46" s="34">
        <v>0</v>
      </c>
      <c r="AU46" s="73">
        <v>16</v>
      </c>
      <c r="AV46" s="39">
        <v>240</v>
      </c>
      <c r="AW46" s="143">
        <v>165</v>
      </c>
      <c r="AX46" s="33">
        <v>0</v>
      </c>
      <c r="AY46" s="34">
        <v>0</v>
      </c>
      <c r="AZ46" s="34">
        <v>0</v>
      </c>
      <c r="BA46" s="84">
        <v>8</v>
      </c>
      <c r="BB46" s="586">
        <v>3</v>
      </c>
      <c r="BC46" s="590">
        <v>8.13E-07</v>
      </c>
      <c r="BD46" s="588">
        <f t="shared" si="10"/>
        <v>161.4391143911439</v>
      </c>
      <c r="BE46" s="299"/>
      <c r="BF46" s="300"/>
      <c r="BG46" s="112"/>
      <c r="BH46" s="541"/>
      <c r="BI46" s="301">
        <v>2</v>
      </c>
      <c r="BJ46" s="346" t="s">
        <v>1401</v>
      </c>
      <c r="BK46" s="13" t="s">
        <v>64</v>
      </c>
      <c r="BL46" s="303" t="s">
        <v>1736</v>
      </c>
      <c r="BM46" s="86" t="s">
        <v>187</v>
      </c>
      <c r="BN46" s="303" t="s">
        <v>1172</v>
      </c>
      <c r="BO46" s="86"/>
      <c r="BP46" s="1" t="s">
        <v>837</v>
      </c>
      <c r="BR46" s="1">
        <v>690</v>
      </c>
      <c r="BS46" s="21">
        <v>22468</v>
      </c>
      <c r="BT46" s="606"/>
      <c r="BU46" s="601">
        <v>6.25</v>
      </c>
      <c r="BV46" s="601">
        <v>1.6</v>
      </c>
      <c r="BW46" s="329">
        <f t="shared" si="21"/>
        <v>457</v>
      </c>
      <c r="BX46" s="329">
        <f>IF($F46&gt;0,$BW46*$D$208,"")</f>
        <v>582.675</v>
      </c>
      <c r="BY46" s="329">
        <f>IF($F46&gt;1,$BX46*$D$209,"")</f>
        <v>742.9106249999999</v>
      </c>
      <c r="BZ46" s="329">
        <f>IF($F46&gt;2,$BY46*$D$210,"")</f>
        <v>947.2110468749997</v>
      </c>
      <c r="CA46" s="329">
        <f>IF($F46&gt;3,$BZ46*$D$211,"")</f>
        <v>1207.6940847656247</v>
      </c>
      <c r="CB46" s="329">
        <f>IF($F46&gt;4,$CA46*$D$212,"")</f>
      </c>
      <c r="CC46" s="329">
        <f>IF($F46&gt;5,$CB46*$D$213,"")</f>
      </c>
      <c r="CD46" s="329">
        <f>IF($F46&gt;6,$CC46*$D$214,"")</f>
      </c>
      <c r="CE46" s="485" t="s">
        <v>1179</v>
      </c>
      <c r="CF46" s="849" t="s">
        <v>515</v>
      </c>
      <c r="CG46" s="440" t="s">
        <v>960</v>
      </c>
      <c r="CH46" s="305">
        <v>51354600</v>
      </c>
      <c r="CI46" s="305">
        <f t="shared" si="6"/>
        <v>15406380</v>
      </c>
      <c r="CJ46" s="306">
        <f t="shared" si="7"/>
        <v>35948220</v>
      </c>
      <c r="CK46" s="307" t="e">
        <f>CJ46-#REF!</f>
        <v>#REF!</v>
      </c>
      <c r="CL46" s="592">
        <v>51354600</v>
      </c>
      <c r="CM46" s="21">
        <f t="shared" si="11"/>
        <v>1</v>
      </c>
      <c r="CN46" s="21">
        <f t="shared" si="12"/>
        <v>3.3333333333333335</v>
      </c>
      <c r="CO46" s="54"/>
      <c r="CP46" s="626">
        <f t="shared" si="13"/>
        <v>192.5</v>
      </c>
      <c r="CQ46" s="627">
        <f t="shared" si="14"/>
        <v>225</v>
      </c>
      <c r="CR46" s="624" t="str">
        <f t="shared" si="15"/>
        <v>S</v>
      </c>
      <c r="CS46" s="634">
        <f t="shared" si="16"/>
        <v>165</v>
      </c>
      <c r="CT46" s="591">
        <f t="shared" si="8"/>
        <v>12500000</v>
      </c>
      <c r="CU46" s="591">
        <f t="shared" si="9"/>
        <v>206.25</v>
      </c>
      <c r="CV46" s="591">
        <v>15000</v>
      </c>
      <c r="CW46" s="54"/>
      <c r="CX46" s="54"/>
      <c r="CY46" s="54"/>
      <c r="CZ46" s="54"/>
      <c r="DA46" s="54">
        <v>1.6875</v>
      </c>
      <c r="DB46" s="54">
        <v>6.25</v>
      </c>
      <c r="DC46" s="649">
        <f t="shared" si="17"/>
        <v>7.6875</v>
      </c>
    </row>
    <row r="47" spans="1:107" ht="12.75">
      <c r="A47" s="24" t="s">
        <v>189</v>
      </c>
      <c r="B47" s="117" t="s">
        <v>838</v>
      </c>
      <c r="C47" s="319" t="s">
        <v>99</v>
      </c>
      <c r="D47" s="356">
        <v>71</v>
      </c>
      <c r="E47" s="357" t="s">
        <v>1807</v>
      </c>
      <c r="F47" s="15">
        <v>5</v>
      </c>
      <c r="G47" s="18">
        <v>5</v>
      </c>
      <c r="H47" s="17">
        <v>8</v>
      </c>
      <c r="I47" s="323">
        <v>3</v>
      </c>
      <c r="J47" s="186">
        <v>7</v>
      </c>
      <c r="K47" s="188">
        <v>2</v>
      </c>
      <c r="L47" s="867">
        <v>475</v>
      </c>
      <c r="M47" s="885">
        <v>1460</v>
      </c>
      <c r="N47" s="106">
        <v>400</v>
      </c>
      <c r="O47" s="454">
        <v>40</v>
      </c>
      <c r="P47" s="531">
        <v>40</v>
      </c>
      <c r="Q47" s="340">
        <v>3363</v>
      </c>
      <c r="R47" s="341">
        <v>475</v>
      </c>
      <c r="S47" s="358">
        <f t="shared" si="0"/>
        <v>1600.4589279785155</v>
      </c>
      <c r="T47" s="352">
        <v>12500</v>
      </c>
      <c r="U47" s="359">
        <v>216000</v>
      </c>
      <c r="V47" s="360">
        <v>15000</v>
      </c>
      <c r="W47" s="361">
        <v>0.615</v>
      </c>
      <c r="X47" s="153">
        <v>3844</v>
      </c>
      <c r="Y47" s="46">
        <v>85</v>
      </c>
      <c r="Z47" s="48">
        <v>10</v>
      </c>
      <c r="AA47" s="48">
        <v>25</v>
      </c>
      <c r="AB47" s="50">
        <v>59.37</v>
      </c>
      <c r="AC47" s="922">
        <v>4324</v>
      </c>
      <c r="AD47" s="362">
        <v>1400</v>
      </c>
      <c r="AE47" s="292">
        <f t="shared" si="20"/>
        <v>3.0885714285714285</v>
      </c>
      <c r="AF47" s="46">
        <v>62.5</v>
      </c>
      <c r="AG47" s="48">
        <v>50</v>
      </c>
      <c r="AH47" s="48">
        <v>40</v>
      </c>
      <c r="AI47" s="47">
        <v>50</v>
      </c>
      <c r="AJ47" s="5">
        <f t="shared" si="19"/>
        <v>11531</v>
      </c>
      <c r="AK47" s="103" t="str">
        <f t="shared" si="22"/>
        <v>S</v>
      </c>
      <c r="AL47" s="862">
        <v>2625</v>
      </c>
      <c r="AM47" s="458">
        <v>583.33</v>
      </c>
      <c r="AN47" s="295">
        <f t="shared" si="4"/>
        <v>4.500025714432653</v>
      </c>
      <c r="AO47" s="145">
        <v>45</v>
      </c>
      <c r="AP47" s="85" t="s">
        <v>465</v>
      </c>
      <c r="AQ47" s="297">
        <v>220</v>
      </c>
      <c r="AR47" s="33">
        <v>0</v>
      </c>
      <c r="AS47" s="34">
        <v>0</v>
      </c>
      <c r="AT47" s="34">
        <v>0</v>
      </c>
      <c r="AU47" s="73">
        <v>16</v>
      </c>
      <c r="AV47" s="39">
        <v>240</v>
      </c>
      <c r="AW47" s="143">
        <v>165</v>
      </c>
      <c r="AX47" s="33">
        <v>0</v>
      </c>
      <c r="AY47" s="34">
        <v>0</v>
      </c>
      <c r="AZ47" s="34">
        <v>0</v>
      </c>
      <c r="BA47" s="84">
        <v>8</v>
      </c>
      <c r="BB47" s="586">
        <v>3</v>
      </c>
      <c r="BC47" s="590">
        <v>8.13E-07</v>
      </c>
      <c r="BD47" s="588">
        <f t="shared" si="10"/>
        <v>161.4391143911439</v>
      </c>
      <c r="BE47" s="299"/>
      <c r="BF47" s="300"/>
      <c r="BG47" s="112"/>
      <c r="BH47" s="541"/>
      <c r="BI47" s="301">
        <v>1</v>
      </c>
      <c r="BJ47" s="346" t="s">
        <v>1401</v>
      </c>
      <c r="BK47" s="13" t="s">
        <v>64</v>
      </c>
      <c r="BL47" s="303" t="s">
        <v>1062</v>
      </c>
      <c r="BM47" s="86" t="s">
        <v>1399</v>
      </c>
      <c r="BN47" s="303" t="s">
        <v>1228</v>
      </c>
      <c r="BO47" s="86"/>
      <c r="BP47" s="1" t="s">
        <v>1456</v>
      </c>
      <c r="BR47" s="1">
        <v>690</v>
      </c>
      <c r="BS47" s="21">
        <v>22444</v>
      </c>
      <c r="BT47" s="606"/>
      <c r="BU47" s="601">
        <v>10.5</v>
      </c>
      <c r="BV47" s="601">
        <v>1.6</v>
      </c>
      <c r="BW47" s="329">
        <f t="shared" si="21"/>
        <v>475</v>
      </c>
      <c r="BX47" s="329">
        <f>IF($F47&gt;0,$BW47*$D$208,"")</f>
        <v>605.625</v>
      </c>
      <c r="BY47" s="329">
        <f>IF($F47&gt;1,$BX47*$D$209,"")</f>
        <v>772.171875</v>
      </c>
      <c r="BZ47" s="329">
        <f>IF($F47&gt;2,$BY47*$D$210,"")</f>
        <v>984.519140625</v>
      </c>
      <c r="CA47" s="329">
        <f>IF($F47&gt;3,$BZ47*$D$211,"")</f>
        <v>1255.261904296875</v>
      </c>
      <c r="CB47" s="329">
        <f>IF($F47&gt;4,$CA47*$D$212,"")</f>
        <v>1600.4589279785155</v>
      </c>
      <c r="CC47" s="329">
        <f>IF($F47&gt;5,$CB47*$D$213,"")</f>
      </c>
      <c r="CD47" s="329">
        <f>IF($F47&gt;6,$CC47*$D$214,"")</f>
      </c>
      <c r="CE47" s="485" t="s">
        <v>732</v>
      </c>
      <c r="CF47" s="849" t="s">
        <v>515</v>
      </c>
      <c r="CG47" s="440" t="s">
        <v>961</v>
      </c>
      <c r="CH47" s="305">
        <v>53673600</v>
      </c>
      <c r="CI47" s="305">
        <f t="shared" si="6"/>
        <v>16102080</v>
      </c>
      <c r="CJ47" s="306">
        <f t="shared" si="7"/>
        <v>37571520</v>
      </c>
      <c r="CK47" s="307" t="e">
        <f>CJ47-#REF!</f>
        <v>#REF!</v>
      </c>
      <c r="CL47" s="592">
        <v>53673600</v>
      </c>
      <c r="CM47" s="21">
        <f t="shared" si="11"/>
        <v>1</v>
      </c>
      <c r="CN47" s="21">
        <f t="shared" si="12"/>
        <v>3.3333333333333335</v>
      </c>
      <c r="CO47" s="54"/>
      <c r="CP47" s="626">
        <f t="shared" si="13"/>
        <v>179.37</v>
      </c>
      <c r="CQ47" s="627">
        <f t="shared" si="14"/>
        <v>202.5</v>
      </c>
      <c r="CR47" s="624" t="str">
        <f t="shared" si="15"/>
        <v>S</v>
      </c>
      <c r="CS47" s="634">
        <f t="shared" si="16"/>
        <v>165</v>
      </c>
      <c r="CT47" s="591">
        <f t="shared" si="8"/>
        <v>12500000</v>
      </c>
      <c r="CU47" s="591">
        <f t="shared" si="9"/>
        <v>206.25</v>
      </c>
      <c r="CV47" s="591">
        <v>15000</v>
      </c>
      <c r="CW47" s="54"/>
      <c r="CX47" s="54"/>
      <c r="CY47" s="54"/>
      <c r="CZ47" s="54"/>
      <c r="DA47" s="54">
        <v>1.6875</v>
      </c>
      <c r="DB47" s="54">
        <v>6.25</v>
      </c>
      <c r="DC47" s="649">
        <f t="shared" si="17"/>
        <v>7.6875</v>
      </c>
    </row>
    <row r="48" spans="1:107" ht="12.75">
      <c r="A48" s="24" t="s">
        <v>229</v>
      </c>
      <c r="B48" s="69" t="s">
        <v>229</v>
      </c>
      <c r="C48" s="308" t="s">
        <v>827</v>
      </c>
      <c r="D48" s="363">
        <v>70</v>
      </c>
      <c r="E48" s="364" t="s">
        <v>258</v>
      </c>
      <c r="F48" s="15">
        <v>6</v>
      </c>
      <c r="G48" s="18">
        <v>4</v>
      </c>
      <c r="H48" s="17">
        <v>8</v>
      </c>
      <c r="I48" s="16">
        <v>0</v>
      </c>
      <c r="J48" s="186">
        <v>7</v>
      </c>
      <c r="K48" s="188">
        <v>3</v>
      </c>
      <c r="L48" s="868">
        <v>375</v>
      </c>
      <c r="M48" s="885">
        <v>1500</v>
      </c>
      <c r="N48" s="106">
        <v>400</v>
      </c>
      <c r="O48" s="454">
        <v>50</v>
      </c>
      <c r="P48" s="531">
        <v>50</v>
      </c>
      <c r="Q48" s="340">
        <v>4688</v>
      </c>
      <c r="R48" s="341">
        <v>350</v>
      </c>
      <c r="S48" s="358">
        <f t="shared" si="0"/>
        <v>1503.5890454956045</v>
      </c>
      <c r="T48" s="342">
        <v>13500</v>
      </c>
      <c r="U48" s="343">
        <v>234000</v>
      </c>
      <c r="V48" s="344">
        <v>15000</v>
      </c>
      <c r="W48" s="289">
        <v>0.615</v>
      </c>
      <c r="X48" s="340">
        <v>5469</v>
      </c>
      <c r="Y48" s="46">
        <v>50</v>
      </c>
      <c r="Z48" s="48">
        <v>20</v>
      </c>
      <c r="AA48" s="48">
        <v>25</v>
      </c>
      <c r="AB48" s="50">
        <v>35</v>
      </c>
      <c r="AC48" s="345">
        <v>3516</v>
      </c>
      <c r="AD48" s="362">
        <v>1400</v>
      </c>
      <c r="AE48" s="292">
        <f t="shared" si="20"/>
        <v>2.5114285714285716</v>
      </c>
      <c r="AF48" s="43">
        <v>0</v>
      </c>
      <c r="AG48" s="44">
        <v>50</v>
      </c>
      <c r="AH48" s="44">
        <v>40</v>
      </c>
      <c r="AI48" s="45">
        <v>20</v>
      </c>
      <c r="AJ48" s="5">
        <f t="shared" si="19"/>
        <v>13673</v>
      </c>
      <c r="AK48" s="103" t="str">
        <f t="shared" si="22"/>
        <v>A</v>
      </c>
      <c r="AL48" s="862">
        <v>3125</v>
      </c>
      <c r="AM48" s="458">
        <v>750</v>
      </c>
      <c r="AN48" s="295">
        <f>AL48/AM48</f>
        <v>4.166666666666667</v>
      </c>
      <c r="AO48" s="145">
        <v>50</v>
      </c>
      <c r="AP48" s="85" t="s">
        <v>465</v>
      </c>
      <c r="AQ48" s="297">
        <v>210</v>
      </c>
      <c r="AR48" s="33">
        <v>16</v>
      </c>
      <c r="AS48" s="34">
        <v>0</v>
      </c>
      <c r="AT48" s="34">
        <v>0</v>
      </c>
      <c r="AU48" s="73">
        <v>0</v>
      </c>
      <c r="AV48" s="39">
        <v>265</v>
      </c>
      <c r="AW48" s="143">
        <v>150</v>
      </c>
      <c r="AX48" s="33"/>
      <c r="AY48" s="34">
        <v>0</v>
      </c>
      <c r="AZ48" s="34">
        <v>0</v>
      </c>
      <c r="BA48" s="84">
        <v>0</v>
      </c>
      <c r="BB48" s="586">
        <v>3</v>
      </c>
      <c r="BC48" s="590">
        <v>8.13E-07</v>
      </c>
      <c r="BD48" s="588">
        <f t="shared" si="10"/>
        <v>177.9531684205731</v>
      </c>
      <c r="BE48" s="299"/>
      <c r="BF48" s="300"/>
      <c r="BG48" s="112"/>
      <c r="BH48" s="541"/>
      <c r="BI48" s="301">
        <v>2</v>
      </c>
      <c r="BJ48" s="696" t="s">
        <v>1476</v>
      </c>
      <c r="BK48" s="36" t="s">
        <v>1750</v>
      </c>
      <c r="BL48" s="303" t="s">
        <v>1025</v>
      </c>
      <c r="BM48" s="86" t="s">
        <v>62</v>
      </c>
      <c r="BN48" s="303" t="s">
        <v>104</v>
      </c>
      <c r="BO48" s="86"/>
      <c r="BP48" s="1050" t="s">
        <v>230</v>
      </c>
      <c r="BR48" s="1">
        <v>396</v>
      </c>
      <c r="BS48" s="21">
        <v>24696</v>
      </c>
      <c r="BT48" s="606"/>
      <c r="BU48" s="601">
        <v>8.75</v>
      </c>
      <c r="BV48" s="601">
        <v>2</v>
      </c>
      <c r="BW48" s="329">
        <f t="shared" si="21"/>
        <v>350</v>
      </c>
      <c r="BX48" s="329">
        <f>IF($F48&gt;0,$BW48*$D$208,"")</f>
        <v>446.24999999999994</v>
      </c>
      <c r="BY48" s="329">
        <f>IF($F48&gt;1,$BX48*$D$209,"")</f>
        <v>568.9687499999999</v>
      </c>
      <c r="BZ48" s="329">
        <f>IF($F48&gt;2,$BY48*$D$210,"")</f>
        <v>725.4351562499997</v>
      </c>
      <c r="CA48" s="329">
        <f>IF($F48&gt;3,$BZ48*$D$211,"")</f>
        <v>924.9298242187497</v>
      </c>
      <c r="CB48" s="329">
        <f>IF($F48&gt;4,$CA48*$D$212,"")</f>
        <v>1179.2855258789057</v>
      </c>
      <c r="CC48" s="329">
        <f>IF($F48&gt;5,$CB48*$D$213,"")</f>
        <v>1503.5890454956045</v>
      </c>
      <c r="CD48" s="329">
        <f>IF($F48&gt;6,$CC48*$D$214,"")</f>
      </c>
      <c r="CE48" s="485" t="s">
        <v>166</v>
      </c>
      <c r="CF48" s="852" t="s">
        <v>516</v>
      </c>
      <c r="CG48" s="440" t="s">
        <v>962</v>
      </c>
      <c r="CH48" s="305">
        <v>38500000</v>
      </c>
      <c r="CI48" s="305">
        <f t="shared" si="6"/>
        <v>11550000</v>
      </c>
      <c r="CJ48" s="306">
        <f t="shared" si="7"/>
        <v>26950000</v>
      </c>
      <c r="CK48" s="307" t="e">
        <f>CJ48-#REF!</f>
        <v>#REF!</v>
      </c>
      <c r="CL48" s="592">
        <v>38500000</v>
      </c>
      <c r="CM48" s="21">
        <f t="shared" si="11"/>
        <v>1</v>
      </c>
      <c r="CN48" s="21">
        <f t="shared" si="12"/>
        <v>3.3333333333333335</v>
      </c>
      <c r="CO48" s="54"/>
      <c r="CP48" s="625">
        <f t="shared" si="13"/>
        <v>130</v>
      </c>
      <c r="CQ48" s="626">
        <f t="shared" si="14"/>
        <v>110</v>
      </c>
      <c r="CR48" s="624" t="str">
        <f t="shared" si="15"/>
        <v>A</v>
      </c>
      <c r="CS48" s="634">
        <f t="shared" si="16"/>
        <v>150</v>
      </c>
      <c r="CT48" s="591">
        <f t="shared" si="8"/>
        <v>13500000</v>
      </c>
      <c r="CU48" s="591">
        <f t="shared" si="9"/>
        <v>187.5</v>
      </c>
      <c r="CV48" s="591">
        <v>15000</v>
      </c>
      <c r="CW48" s="54"/>
      <c r="CX48" s="54"/>
      <c r="CY48" s="54"/>
      <c r="CZ48" s="54"/>
      <c r="DA48" s="54">
        <v>1.6875</v>
      </c>
      <c r="DB48" s="54">
        <v>6.25</v>
      </c>
      <c r="DC48" s="649">
        <f t="shared" si="17"/>
        <v>8.3025</v>
      </c>
    </row>
    <row r="49" spans="1:107" ht="12.75">
      <c r="A49" s="24" t="s">
        <v>1806</v>
      </c>
      <c r="B49" s="69" t="s">
        <v>1806</v>
      </c>
      <c r="C49" s="308" t="s">
        <v>827</v>
      </c>
      <c r="D49" s="363">
        <v>70</v>
      </c>
      <c r="E49" s="364" t="s">
        <v>258</v>
      </c>
      <c r="F49" s="15">
        <v>6</v>
      </c>
      <c r="G49" s="18">
        <v>3</v>
      </c>
      <c r="H49" s="17">
        <v>7</v>
      </c>
      <c r="I49" s="16">
        <v>1</v>
      </c>
      <c r="J49" s="738">
        <v>6</v>
      </c>
      <c r="K49" s="188">
        <v>3</v>
      </c>
      <c r="L49" s="868">
        <v>350</v>
      </c>
      <c r="M49" s="885">
        <v>1300</v>
      </c>
      <c r="N49" s="106">
        <v>400</v>
      </c>
      <c r="O49" s="454">
        <v>25</v>
      </c>
      <c r="P49" s="531">
        <v>25</v>
      </c>
      <c r="Q49" s="340">
        <v>4395</v>
      </c>
      <c r="R49" s="341">
        <v>350</v>
      </c>
      <c r="S49" s="358">
        <f t="shared" si="0"/>
        <v>1503.5890454956045</v>
      </c>
      <c r="T49" s="342">
        <v>13500</v>
      </c>
      <c r="U49" s="343">
        <v>234000</v>
      </c>
      <c r="V49" s="344">
        <v>15000</v>
      </c>
      <c r="W49" s="289">
        <v>0.615</v>
      </c>
      <c r="X49" s="340">
        <v>4883</v>
      </c>
      <c r="Y49" s="729">
        <v>50</v>
      </c>
      <c r="Z49" s="730">
        <v>20</v>
      </c>
      <c r="AA49" s="730">
        <v>25</v>
      </c>
      <c r="AB49" s="731">
        <v>35</v>
      </c>
      <c r="AC49" s="345">
        <v>3419</v>
      </c>
      <c r="AD49" s="362">
        <v>1400</v>
      </c>
      <c r="AE49" s="292">
        <f t="shared" si="20"/>
        <v>2.442142857142857</v>
      </c>
      <c r="AF49" s="43">
        <v>0</v>
      </c>
      <c r="AG49" s="44">
        <v>50</v>
      </c>
      <c r="AH49" s="44">
        <v>40</v>
      </c>
      <c r="AI49" s="45">
        <v>20</v>
      </c>
      <c r="AJ49" s="5">
        <f t="shared" si="19"/>
        <v>12697</v>
      </c>
      <c r="AK49" s="103" t="str">
        <f t="shared" si="22"/>
        <v>A</v>
      </c>
      <c r="AL49" s="862">
        <v>2812</v>
      </c>
      <c r="AM49" s="458">
        <v>750</v>
      </c>
      <c r="AN49" s="295">
        <f t="shared" si="4"/>
        <v>3.7493333333333334</v>
      </c>
      <c r="AO49" s="145">
        <v>50</v>
      </c>
      <c r="AP49" s="85" t="s">
        <v>465</v>
      </c>
      <c r="AQ49" s="297">
        <v>210</v>
      </c>
      <c r="AR49" s="33">
        <v>16</v>
      </c>
      <c r="AS49" s="34">
        <v>0</v>
      </c>
      <c r="AT49" s="34">
        <v>0</v>
      </c>
      <c r="AU49" s="73">
        <v>0</v>
      </c>
      <c r="AV49" s="39">
        <v>265</v>
      </c>
      <c r="AW49" s="143">
        <v>150</v>
      </c>
      <c r="AX49" s="33">
        <v>7</v>
      </c>
      <c r="AY49" s="34">
        <v>0</v>
      </c>
      <c r="AZ49" s="34">
        <v>0</v>
      </c>
      <c r="BA49" s="84">
        <v>0</v>
      </c>
      <c r="BB49" s="586">
        <v>3</v>
      </c>
      <c r="BC49" s="590">
        <v>8.13E-07</v>
      </c>
      <c r="BD49" s="588">
        <f t="shared" si="10"/>
        <v>160.12937907156848</v>
      </c>
      <c r="BE49" s="299"/>
      <c r="BF49" s="300"/>
      <c r="BG49" s="112"/>
      <c r="BH49" s="541"/>
      <c r="BI49" s="301">
        <v>1</v>
      </c>
      <c r="BJ49" s="696" t="s">
        <v>1476</v>
      </c>
      <c r="BK49" s="13" t="s">
        <v>1750</v>
      </c>
      <c r="BL49" s="303" t="s">
        <v>255</v>
      </c>
      <c r="BM49" s="86" t="s">
        <v>1177</v>
      </c>
      <c r="BN49" s="303" t="s">
        <v>104</v>
      </c>
      <c r="BO49" s="86"/>
      <c r="BP49" s="1" t="s">
        <v>1178</v>
      </c>
      <c r="BR49" s="1">
        <v>396</v>
      </c>
      <c r="BS49" s="21">
        <v>16233</v>
      </c>
      <c r="BT49" s="606"/>
      <c r="BU49" s="601">
        <v>6</v>
      </c>
      <c r="BV49" s="601">
        <v>1</v>
      </c>
      <c r="BW49" s="329">
        <f t="shared" si="21"/>
        <v>350</v>
      </c>
      <c r="BX49" s="329">
        <f>IF($F49&gt;0,$BW49*$D$208,"")</f>
        <v>446.24999999999994</v>
      </c>
      <c r="BY49" s="329">
        <f>IF($F49&gt;1,$BX49*$D$209,"")</f>
        <v>568.9687499999999</v>
      </c>
      <c r="BZ49" s="329">
        <f>IF($F49&gt;2,$BY49*$D$210,"")</f>
        <v>725.4351562499997</v>
      </c>
      <c r="CA49" s="329">
        <f>IF($F49&gt;3,$BZ49*$D$211,"")</f>
        <v>924.9298242187497</v>
      </c>
      <c r="CB49" s="329">
        <f>IF($F49&gt;4,$CA49*$D$212,"")</f>
        <v>1179.2855258789057</v>
      </c>
      <c r="CC49" s="329">
        <f>IF($F49&gt;5,$CB49*$D$213,"")</f>
        <v>1503.5890454956045</v>
      </c>
      <c r="CD49" s="329">
        <f>IF($F49&gt;6,$CC49*$D$214,"")</f>
      </c>
      <c r="CE49" s="485" t="s">
        <v>48</v>
      </c>
      <c r="CF49" s="854" t="s">
        <v>921</v>
      </c>
      <c r="CG49" s="440" t="s">
        <v>963</v>
      </c>
      <c r="CH49" s="305">
        <v>25500000</v>
      </c>
      <c r="CI49" s="305">
        <f t="shared" si="6"/>
        <v>7650000</v>
      </c>
      <c r="CJ49" s="306">
        <f t="shared" si="7"/>
        <v>17850000</v>
      </c>
      <c r="CK49" s="307" t="e">
        <f>CJ49-#REF!</f>
        <v>#REF!</v>
      </c>
      <c r="CL49" s="592">
        <v>25500000</v>
      </c>
      <c r="CM49" s="21">
        <f t="shared" si="11"/>
        <v>1</v>
      </c>
      <c r="CN49" s="21">
        <f t="shared" si="12"/>
        <v>3.3333333333333335</v>
      </c>
      <c r="CO49" s="54"/>
      <c r="CP49" s="625">
        <f t="shared" si="13"/>
        <v>130</v>
      </c>
      <c r="CQ49" s="626">
        <f t="shared" si="14"/>
        <v>110</v>
      </c>
      <c r="CR49" s="624" t="str">
        <f t="shared" si="15"/>
        <v>A</v>
      </c>
      <c r="CS49" s="634">
        <f t="shared" si="16"/>
        <v>150</v>
      </c>
      <c r="CT49" s="591">
        <f t="shared" si="8"/>
        <v>13500000</v>
      </c>
      <c r="CU49" s="591">
        <f t="shared" si="9"/>
        <v>187.5</v>
      </c>
      <c r="CV49" s="591">
        <v>15000</v>
      </c>
      <c r="CW49" s="54"/>
      <c r="CX49" s="54"/>
      <c r="CY49" s="54"/>
      <c r="CZ49" s="54"/>
      <c r="DA49" s="54">
        <v>1.6875</v>
      </c>
      <c r="DB49" s="54">
        <v>6.25</v>
      </c>
      <c r="DC49" s="649">
        <f t="shared" si="17"/>
        <v>8.3025</v>
      </c>
    </row>
    <row r="50" spans="1:107" ht="12.75">
      <c r="A50" s="24" t="s">
        <v>654</v>
      </c>
      <c r="B50" s="69" t="s">
        <v>654</v>
      </c>
      <c r="C50" s="636" t="s">
        <v>865</v>
      </c>
      <c r="D50" s="363">
        <v>70</v>
      </c>
      <c r="E50" s="364" t="s">
        <v>258</v>
      </c>
      <c r="F50" s="15">
        <v>4</v>
      </c>
      <c r="G50" s="18">
        <v>6</v>
      </c>
      <c r="H50" s="17">
        <v>8</v>
      </c>
      <c r="I50" s="740">
        <v>7</v>
      </c>
      <c r="J50" s="324">
        <v>0</v>
      </c>
      <c r="K50" s="188">
        <v>3</v>
      </c>
      <c r="L50" s="868">
        <v>525</v>
      </c>
      <c r="M50" s="885">
        <v>850</v>
      </c>
      <c r="N50" s="106">
        <v>400</v>
      </c>
      <c r="O50" s="454">
        <v>25</v>
      </c>
      <c r="P50" s="531">
        <v>25</v>
      </c>
      <c r="Q50" s="340">
        <v>3906</v>
      </c>
      <c r="R50" s="341">
        <v>345</v>
      </c>
      <c r="S50" s="358">
        <f t="shared" si="0"/>
        <v>911.7165410156248</v>
      </c>
      <c r="T50" s="342">
        <v>14010</v>
      </c>
      <c r="U50" s="343">
        <v>252000</v>
      </c>
      <c r="V50" s="344">
        <v>15000</v>
      </c>
      <c r="W50" s="289">
        <v>0.55</v>
      </c>
      <c r="X50" s="340">
        <v>3906</v>
      </c>
      <c r="Y50" s="43">
        <v>50</v>
      </c>
      <c r="Z50" s="44">
        <v>10</v>
      </c>
      <c r="AA50" s="44">
        <v>25</v>
      </c>
      <c r="AB50" s="49">
        <v>45</v>
      </c>
      <c r="AC50" s="345">
        <v>5469</v>
      </c>
      <c r="AD50" s="362">
        <v>1400</v>
      </c>
      <c r="AE50" s="292">
        <f t="shared" si="20"/>
        <v>3.9064285714285716</v>
      </c>
      <c r="AF50" s="819">
        <v>0</v>
      </c>
      <c r="AG50" s="820">
        <v>50</v>
      </c>
      <c r="AH50" s="820">
        <v>40</v>
      </c>
      <c r="AI50" s="825">
        <v>20</v>
      </c>
      <c r="AJ50" s="5">
        <f t="shared" si="19"/>
        <v>13281</v>
      </c>
      <c r="AK50" s="103" t="str">
        <f t="shared" si="22"/>
        <v>S</v>
      </c>
      <c r="AL50" s="862">
        <v>2812</v>
      </c>
      <c r="AM50" s="458">
        <v>750</v>
      </c>
      <c r="AN50" s="295">
        <f>AL50/AM50</f>
        <v>3.7493333333333334</v>
      </c>
      <c r="AO50" s="145">
        <v>60</v>
      </c>
      <c r="AP50" s="85" t="s">
        <v>990</v>
      </c>
      <c r="AQ50" s="297">
        <v>195</v>
      </c>
      <c r="AR50" s="33">
        <v>0</v>
      </c>
      <c r="AS50" s="34">
        <v>19</v>
      </c>
      <c r="AT50" s="34">
        <v>0</v>
      </c>
      <c r="AU50" s="73">
        <v>0</v>
      </c>
      <c r="AV50" s="39">
        <v>285</v>
      </c>
      <c r="AW50" s="143">
        <v>140</v>
      </c>
      <c r="AX50" s="33">
        <v>0</v>
      </c>
      <c r="AY50" s="34"/>
      <c r="AZ50" s="34">
        <v>0</v>
      </c>
      <c r="BA50" s="84">
        <v>0</v>
      </c>
      <c r="BB50" s="586">
        <v>3</v>
      </c>
      <c r="BC50" s="590">
        <v>8.13E-07</v>
      </c>
      <c r="BD50" s="588">
        <f t="shared" si="10"/>
        <v>154.3002582060082</v>
      </c>
      <c r="BE50" s="299"/>
      <c r="BF50" s="300"/>
      <c r="BG50" s="112"/>
      <c r="BH50" s="541"/>
      <c r="BI50" s="301">
        <v>2</v>
      </c>
      <c r="BJ50" s="696" t="s">
        <v>1476</v>
      </c>
      <c r="BK50" s="36" t="s">
        <v>1751</v>
      </c>
      <c r="BL50" s="303" t="s">
        <v>1184</v>
      </c>
      <c r="BM50" s="86" t="s">
        <v>100</v>
      </c>
      <c r="BN50" s="303" t="s">
        <v>104</v>
      </c>
      <c r="BO50" s="86"/>
      <c r="BP50" s="1050" t="s">
        <v>101</v>
      </c>
      <c r="BR50" s="1">
        <v>726</v>
      </c>
      <c r="BS50" s="21">
        <v>24698</v>
      </c>
      <c r="BT50" s="606"/>
      <c r="BU50" s="601">
        <v>8.75</v>
      </c>
      <c r="BV50" s="601">
        <v>1</v>
      </c>
      <c r="BW50" s="329">
        <f t="shared" si="21"/>
        <v>345</v>
      </c>
      <c r="BX50" s="329">
        <f>IF($F50&gt;0,$BW50*$D$208,"")</f>
        <v>439.87499999999994</v>
      </c>
      <c r="BY50" s="329">
        <f>IF($F50&gt;1,$BX50*$D$209,"")</f>
        <v>560.8406249999999</v>
      </c>
      <c r="BZ50" s="329">
        <f>IF($F50&gt;2,$BY50*$D$210,"")</f>
        <v>715.0717968749999</v>
      </c>
      <c r="CA50" s="329">
        <f>IF($F50&gt;3,$BZ50*$D$211,"")</f>
        <v>911.7165410156248</v>
      </c>
      <c r="CB50" s="329">
        <f>IF($F50&gt;4,$CA50*$D$212,"")</f>
      </c>
      <c r="CC50" s="329">
        <f>IF($F50&gt;5,$CB50*$D$213,"")</f>
      </c>
      <c r="CD50" s="329">
        <f>IF($F50&gt;6,$CC50*$D$214,"")</f>
      </c>
      <c r="CE50" s="485" t="s">
        <v>422</v>
      </c>
      <c r="CF50" s="852" t="s">
        <v>516</v>
      </c>
      <c r="CG50" s="440" t="s">
        <v>964</v>
      </c>
      <c r="CH50" s="305">
        <v>38000000</v>
      </c>
      <c r="CI50" s="305">
        <f t="shared" si="6"/>
        <v>11400000</v>
      </c>
      <c r="CJ50" s="306">
        <f t="shared" si="7"/>
        <v>26600000</v>
      </c>
      <c r="CK50" s="307" t="e">
        <f>CJ50-#REF!</f>
        <v>#REF!</v>
      </c>
      <c r="CL50" s="592">
        <v>38000000</v>
      </c>
      <c r="CM50" s="21">
        <f t="shared" si="11"/>
        <v>1</v>
      </c>
      <c r="CN50" s="21">
        <f t="shared" si="12"/>
        <v>3.3333333333333335</v>
      </c>
      <c r="CO50" s="54"/>
      <c r="CP50" s="622">
        <f t="shared" si="13"/>
        <v>130</v>
      </c>
      <c r="CQ50" s="623">
        <f t="shared" si="14"/>
        <v>110</v>
      </c>
      <c r="CR50" s="624" t="str">
        <f t="shared" si="15"/>
        <v>S</v>
      </c>
      <c r="CS50" s="634">
        <f t="shared" si="16"/>
        <v>140</v>
      </c>
      <c r="CT50" s="591">
        <f t="shared" si="8"/>
        <v>14010000</v>
      </c>
      <c r="CU50" s="591">
        <f t="shared" si="9"/>
        <v>175</v>
      </c>
      <c r="CV50" s="591">
        <v>15000</v>
      </c>
      <c r="CW50" s="54"/>
      <c r="CX50" s="54"/>
      <c r="CY50" s="54"/>
      <c r="CZ50" s="54"/>
      <c r="DA50" s="54">
        <v>1.6875</v>
      </c>
      <c r="DB50" s="54">
        <v>6.25</v>
      </c>
      <c r="DC50" s="649">
        <f t="shared" si="17"/>
        <v>7.705500000000001</v>
      </c>
    </row>
    <row r="51" spans="1:107" ht="12.75">
      <c r="A51" s="24" t="s">
        <v>955</v>
      </c>
      <c r="B51" s="69" t="s">
        <v>955</v>
      </c>
      <c r="C51" s="636" t="s">
        <v>865</v>
      </c>
      <c r="D51" s="363">
        <v>70</v>
      </c>
      <c r="E51" s="364" t="s">
        <v>258</v>
      </c>
      <c r="F51" s="15">
        <v>4</v>
      </c>
      <c r="G51" s="18">
        <v>5</v>
      </c>
      <c r="H51" s="17">
        <v>7</v>
      </c>
      <c r="I51" s="16">
        <v>5</v>
      </c>
      <c r="J51" s="737">
        <v>6</v>
      </c>
      <c r="K51" s="188">
        <v>3</v>
      </c>
      <c r="L51" s="868">
        <v>475</v>
      </c>
      <c r="M51" s="885">
        <v>1075</v>
      </c>
      <c r="N51" s="106">
        <v>400</v>
      </c>
      <c r="O51" s="454">
        <v>25</v>
      </c>
      <c r="P51" s="531">
        <v>25</v>
      </c>
      <c r="Q51" s="340">
        <v>3906</v>
      </c>
      <c r="R51" s="341">
        <v>345</v>
      </c>
      <c r="S51" s="358">
        <f t="shared" si="0"/>
        <v>911.7165410156248</v>
      </c>
      <c r="T51" s="342">
        <v>14010</v>
      </c>
      <c r="U51" s="343">
        <v>252000</v>
      </c>
      <c r="V51" s="344">
        <v>15000</v>
      </c>
      <c r="W51" s="289">
        <v>0.55</v>
      </c>
      <c r="X51" s="340">
        <v>3419</v>
      </c>
      <c r="Y51" s="43">
        <v>50</v>
      </c>
      <c r="Z51" s="44">
        <v>10</v>
      </c>
      <c r="AA51" s="44">
        <v>25</v>
      </c>
      <c r="AB51" s="49">
        <v>45</v>
      </c>
      <c r="AC51" s="345">
        <v>4883</v>
      </c>
      <c r="AD51" s="362">
        <v>1400</v>
      </c>
      <c r="AE51" s="292">
        <f t="shared" si="20"/>
        <v>3.487857142857143</v>
      </c>
      <c r="AF51" s="822">
        <v>0</v>
      </c>
      <c r="AG51" s="823">
        <v>50</v>
      </c>
      <c r="AH51" s="823">
        <v>40</v>
      </c>
      <c r="AI51" s="826">
        <v>20</v>
      </c>
      <c r="AJ51" s="5">
        <f t="shared" si="19"/>
        <v>12208</v>
      </c>
      <c r="AK51" s="103" t="str">
        <f t="shared" si="22"/>
        <v>S</v>
      </c>
      <c r="AL51" s="862">
        <v>2500</v>
      </c>
      <c r="AM51" s="458">
        <v>666.67</v>
      </c>
      <c r="AN51" s="295">
        <f t="shared" si="4"/>
        <v>3.7499812500937497</v>
      </c>
      <c r="AO51" s="145">
        <v>60</v>
      </c>
      <c r="AP51" s="85" t="s">
        <v>990</v>
      </c>
      <c r="AQ51" s="297">
        <v>195</v>
      </c>
      <c r="AR51" s="33">
        <v>0</v>
      </c>
      <c r="AS51" s="34">
        <v>19</v>
      </c>
      <c r="AT51" s="34">
        <v>0</v>
      </c>
      <c r="AU51" s="73">
        <v>0</v>
      </c>
      <c r="AV51" s="39">
        <v>285</v>
      </c>
      <c r="AW51" s="143">
        <v>140</v>
      </c>
      <c r="AX51" s="33">
        <v>0</v>
      </c>
      <c r="AY51" s="34">
        <v>6</v>
      </c>
      <c r="AZ51" s="34">
        <v>0</v>
      </c>
      <c r="BA51" s="84">
        <v>0</v>
      </c>
      <c r="BB51" s="586">
        <v>3</v>
      </c>
      <c r="BC51" s="590">
        <v>8.13E-07</v>
      </c>
      <c r="BD51" s="588">
        <f t="shared" si="10"/>
        <v>137.18017265825765</v>
      </c>
      <c r="BE51" s="299"/>
      <c r="BF51" s="300"/>
      <c r="BG51" s="112"/>
      <c r="BH51" s="541"/>
      <c r="BI51" s="301">
        <v>1</v>
      </c>
      <c r="BJ51" s="696" t="s">
        <v>1476</v>
      </c>
      <c r="BK51" s="36" t="s">
        <v>1750</v>
      </c>
      <c r="BL51" s="303" t="s">
        <v>748</v>
      </c>
      <c r="BM51" s="86" t="s">
        <v>164</v>
      </c>
      <c r="BN51" s="303" t="s">
        <v>104</v>
      </c>
      <c r="BO51" s="86"/>
      <c r="BP51" s="1" t="s">
        <v>165</v>
      </c>
      <c r="BR51" s="1">
        <v>726</v>
      </c>
      <c r="BS51" s="21">
        <v>16227</v>
      </c>
      <c r="BT51" s="606"/>
      <c r="BU51" s="601">
        <v>6</v>
      </c>
      <c r="BV51" s="601">
        <v>1</v>
      </c>
      <c r="BW51" s="329">
        <f t="shared" si="21"/>
        <v>345</v>
      </c>
      <c r="BX51" s="329">
        <f>IF($F51&gt;0,$BW51*$D$208,"")</f>
        <v>439.87499999999994</v>
      </c>
      <c r="BY51" s="329">
        <f>IF($F51&gt;1,$BX51*$D$209,"")</f>
        <v>560.8406249999999</v>
      </c>
      <c r="BZ51" s="329">
        <f>IF($F51&gt;2,$BY51*$D$210,"")</f>
        <v>715.0717968749999</v>
      </c>
      <c r="CA51" s="329">
        <f>IF($F51&gt;3,$BZ51*$D$211,"")</f>
        <v>911.7165410156248</v>
      </c>
      <c r="CB51" s="329">
        <f>IF($F51&gt;4,$CA51*$D$212,"")</f>
      </c>
      <c r="CC51" s="329">
        <f>IF($F51&gt;5,$CB51*$D$213,"")</f>
      </c>
      <c r="CD51" s="329">
        <f>IF($F51&gt;6,$CC51*$D$214,"")</f>
      </c>
      <c r="CE51" s="485" t="s">
        <v>295</v>
      </c>
      <c r="CF51" s="854" t="s">
        <v>921</v>
      </c>
      <c r="CG51" s="440" t="s">
        <v>965</v>
      </c>
      <c r="CH51" s="305">
        <v>24000000</v>
      </c>
      <c r="CI51" s="305">
        <f t="shared" si="6"/>
        <v>7200000</v>
      </c>
      <c r="CJ51" s="306">
        <f t="shared" si="7"/>
        <v>16800000</v>
      </c>
      <c r="CK51" s="307" t="e">
        <f>CJ51-#REF!</f>
        <v>#REF!</v>
      </c>
      <c r="CL51" s="592">
        <v>24000000</v>
      </c>
      <c r="CM51" s="21">
        <f t="shared" si="11"/>
        <v>1</v>
      </c>
      <c r="CN51" s="21">
        <f t="shared" si="12"/>
        <v>3.3333333333333335</v>
      </c>
      <c r="CO51" s="54"/>
      <c r="CP51" s="622">
        <f t="shared" si="13"/>
        <v>130</v>
      </c>
      <c r="CQ51" s="623">
        <f t="shared" si="14"/>
        <v>110</v>
      </c>
      <c r="CR51" s="624" t="str">
        <f t="shared" si="15"/>
        <v>S</v>
      </c>
      <c r="CS51" s="634">
        <f t="shared" si="16"/>
        <v>140</v>
      </c>
      <c r="CT51" s="591">
        <f t="shared" si="8"/>
        <v>14010000</v>
      </c>
      <c r="CU51" s="591">
        <f t="shared" si="9"/>
        <v>175</v>
      </c>
      <c r="CV51" s="591">
        <v>15000</v>
      </c>
      <c r="CW51" s="54"/>
      <c r="CX51" s="54"/>
      <c r="CY51" s="54"/>
      <c r="CZ51" s="54"/>
      <c r="DA51" s="54">
        <v>1.6875</v>
      </c>
      <c r="DB51" s="54">
        <v>6.25</v>
      </c>
      <c r="DC51" s="649">
        <f t="shared" si="17"/>
        <v>7.705500000000001</v>
      </c>
    </row>
    <row r="52" spans="1:107" ht="12.75">
      <c r="A52" s="24" t="s">
        <v>553</v>
      </c>
      <c r="B52" s="69" t="s">
        <v>553</v>
      </c>
      <c r="C52" s="315" t="s">
        <v>1042</v>
      </c>
      <c r="D52" s="363">
        <v>70</v>
      </c>
      <c r="E52" s="364" t="s">
        <v>258</v>
      </c>
      <c r="F52" s="15">
        <v>5</v>
      </c>
      <c r="G52" s="18">
        <v>4</v>
      </c>
      <c r="H52" s="17">
        <v>7</v>
      </c>
      <c r="I52" s="16">
        <v>0</v>
      </c>
      <c r="J52" s="738">
        <v>7</v>
      </c>
      <c r="K52" s="188">
        <v>3</v>
      </c>
      <c r="L52" s="868">
        <v>425</v>
      </c>
      <c r="M52" s="885">
        <v>1150</v>
      </c>
      <c r="N52" s="106">
        <v>400</v>
      </c>
      <c r="O52" s="454">
        <v>50</v>
      </c>
      <c r="P52" s="531">
        <v>50</v>
      </c>
      <c r="Q52" s="340">
        <v>4883</v>
      </c>
      <c r="R52" s="341">
        <v>400</v>
      </c>
      <c r="S52" s="358">
        <f t="shared" si="0"/>
        <v>1347.7548867187495</v>
      </c>
      <c r="T52" s="342">
        <v>13250</v>
      </c>
      <c r="U52" s="343">
        <v>270000</v>
      </c>
      <c r="V52" s="344">
        <v>15000</v>
      </c>
      <c r="W52" s="289">
        <v>0.615</v>
      </c>
      <c r="X52" s="919">
        <v>4395</v>
      </c>
      <c r="Y52" s="43">
        <v>50</v>
      </c>
      <c r="Z52" s="44">
        <v>10</v>
      </c>
      <c r="AA52" s="44">
        <v>35</v>
      </c>
      <c r="AB52" s="49">
        <v>35</v>
      </c>
      <c r="AC52" s="345">
        <v>3906</v>
      </c>
      <c r="AD52" s="362">
        <v>1400</v>
      </c>
      <c r="AE52" s="292">
        <f t="shared" si="20"/>
        <v>2.79</v>
      </c>
      <c r="AF52" s="43">
        <v>0</v>
      </c>
      <c r="AG52" s="44">
        <v>50</v>
      </c>
      <c r="AH52" s="44">
        <v>40</v>
      </c>
      <c r="AI52" s="45">
        <v>20</v>
      </c>
      <c r="AJ52" s="5">
        <f t="shared" si="19"/>
        <v>13184</v>
      </c>
      <c r="AK52" s="103" t="str">
        <f t="shared" si="22"/>
        <v>A</v>
      </c>
      <c r="AL52" s="862">
        <v>2343</v>
      </c>
      <c r="AM52" s="458">
        <v>625</v>
      </c>
      <c r="AN52" s="295">
        <f>AL52/AM52</f>
        <v>3.7488</v>
      </c>
      <c r="AO52" s="145">
        <v>55</v>
      </c>
      <c r="AP52" s="85" t="s">
        <v>462</v>
      </c>
      <c r="AQ52" s="297">
        <v>200</v>
      </c>
      <c r="AR52" s="33">
        <v>0</v>
      </c>
      <c r="AS52" s="34">
        <v>0</v>
      </c>
      <c r="AT52" s="34">
        <v>18</v>
      </c>
      <c r="AU52" s="73">
        <v>0</v>
      </c>
      <c r="AV52" s="39">
        <v>300</v>
      </c>
      <c r="AW52" s="143">
        <v>145</v>
      </c>
      <c r="AX52" s="33">
        <v>0</v>
      </c>
      <c r="AY52" s="34">
        <v>0</v>
      </c>
      <c r="AZ52" s="34">
        <v>7</v>
      </c>
      <c r="BA52" s="84">
        <v>0</v>
      </c>
      <c r="BB52" s="586">
        <v>3</v>
      </c>
      <c r="BC52" s="590">
        <v>8.13E-07</v>
      </c>
      <c r="BD52" s="588">
        <f t="shared" si="10"/>
        <v>135.93956694283924</v>
      </c>
      <c r="BE52" s="299"/>
      <c r="BF52" s="300"/>
      <c r="BG52" s="112"/>
      <c r="BH52" s="541"/>
      <c r="BI52" s="301">
        <v>1</v>
      </c>
      <c r="BJ52" s="696" t="s">
        <v>1476</v>
      </c>
      <c r="BK52" s="36" t="s">
        <v>1750</v>
      </c>
      <c r="BL52" s="303" t="s">
        <v>1508</v>
      </c>
      <c r="BM52" s="86" t="s">
        <v>520</v>
      </c>
      <c r="BN52" s="303" t="s">
        <v>104</v>
      </c>
      <c r="BO52" s="86"/>
      <c r="BP52" s="1" t="s">
        <v>521</v>
      </c>
      <c r="BR52" s="1">
        <v>532</v>
      </c>
      <c r="BS52" s="21">
        <v>16229</v>
      </c>
      <c r="BT52" s="606"/>
      <c r="BU52" s="601">
        <v>8.75</v>
      </c>
      <c r="BV52" s="601">
        <v>2</v>
      </c>
      <c r="BW52" s="329">
        <f t="shared" si="21"/>
        <v>400</v>
      </c>
      <c r="BX52" s="329">
        <f>IF($F52&gt;0,$BW52*$D$208,"")</f>
        <v>509.99999999999994</v>
      </c>
      <c r="BY52" s="329">
        <f>IF($F52&gt;1,$BX52*$D$209,"")</f>
        <v>650.2499999999999</v>
      </c>
      <c r="BZ52" s="329">
        <f>IF($F52&gt;2,$BY52*$D$210,"")</f>
        <v>829.0687499999998</v>
      </c>
      <c r="CA52" s="329">
        <f>IF($F52&gt;3,$BZ52*$D$211,"")</f>
        <v>1057.0626562499997</v>
      </c>
      <c r="CB52" s="329">
        <f>IF($F52&gt;4,$CA52*$D$212,"")</f>
        <v>1347.7548867187495</v>
      </c>
      <c r="CC52" s="329">
        <f>IF($F52&gt;5,$CB52*$D$213,"")</f>
      </c>
      <c r="CD52" s="329">
        <f>IF($F52&gt;6,$CC52*$D$214,"")</f>
      </c>
      <c r="CE52" s="485" t="s">
        <v>338</v>
      </c>
      <c r="CF52" s="854" t="s">
        <v>921</v>
      </c>
      <c r="CG52" s="440" t="s">
        <v>966</v>
      </c>
      <c r="CH52" s="305">
        <v>27000000</v>
      </c>
      <c r="CI52" s="305">
        <f t="shared" si="6"/>
        <v>8100000</v>
      </c>
      <c r="CJ52" s="306">
        <f t="shared" si="7"/>
        <v>18900000</v>
      </c>
      <c r="CK52" s="307" t="e">
        <f>CJ52-#REF!</f>
        <v>#REF!</v>
      </c>
      <c r="CL52" s="592">
        <v>27000000</v>
      </c>
      <c r="CM52" s="21">
        <f t="shared" si="11"/>
        <v>1</v>
      </c>
      <c r="CN52" s="21">
        <f t="shared" si="12"/>
        <v>3.3333333333333335</v>
      </c>
      <c r="CO52" s="54"/>
      <c r="CP52" s="625">
        <f t="shared" si="13"/>
        <v>130</v>
      </c>
      <c r="CQ52" s="626">
        <f t="shared" si="14"/>
        <v>110</v>
      </c>
      <c r="CR52" s="624" t="str">
        <f t="shared" si="15"/>
        <v>A</v>
      </c>
      <c r="CS52" s="634">
        <f t="shared" si="16"/>
        <v>145</v>
      </c>
      <c r="CT52" s="591">
        <f t="shared" si="8"/>
        <v>13250000</v>
      </c>
      <c r="CU52" s="591">
        <f t="shared" si="9"/>
        <v>181.25</v>
      </c>
      <c r="CV52" s="591">
        <v>15000</v>
      </c>
      <c r="CW52" s="54"/>
      <c r="CX52" s="54"/>
      <c r="CY52" s="54"/>
      <c r="CZ52" s="54"/>
      <c r="DA52" s="54">
        <v>1.6875</v>
      </c>
      <c r="DB52" s="54">
        <v>6.25</v>
      </c>
      <c r="DC52" s="649">
        <f t="shared" si="17"/>
        <v>8.14875</v>
      </c>
    </row>
    <row r="53" spans="1:107" ht="12.75">
      <c r="A53" s="24" t="s">
        <v>49</v>
      </c>
      <c r="B53" s="69" t="s">
        <v>49</v>
      </c>
      <c r="C53" s="315" t="s">
        <v>1042</v>
      </c>
      <c r="D53" s="363">
        <v>70</v>
      </c>
      <c r="E53" s="364" t="s">
        <v>258</v>
      </c>
      <c r="F53" s="15">
        <v>6</v>
      </c>
      <c r="G53" s="18">
        <v>5</v>
      </c>
      <c r="H53" s="17">
        <v>6</v>
      </c>
      <c r="I53" s="16">
        <v>0</v>
      </c>
      <c r="J53" s="324">
        <v>6</v>
      </c>
      <c r="K53" s="188">
        <v>3</v>
      </c>
      <c r="L53" s="868">
        <v>400</v>
      </c>
      <c r="M53" s="885">
        <v>1100</v>
      </c>
      <c r="N53" s="106">
        <v>400</v>
      </c>
      <c r="O53" s="455">
        <v>150</v>
      </c>
      <c r="P53" s="743">
        <v>75</v>
      </c>
      <c r="Q53" s="340">
        <v>4297</v>
      </c>
      <c r="R53" s="341">
        <v>400</v>
      </c>
      <c r="S53" s="358">
        <f t="shared" si="0"/>
        <v>1718.3874805664054</v>
      </c>
      <c r="T53" s="342">
        <v>13250</v>
      </c>
      <c r="U53" s="343">
        <v>270000</v>
      </c>
      <c r="V53" s="344">
        <v>15000</v>
      </c>
      <c r="W53" s="289">
        <v>0.615</v>
      </c>
      <c r="X53" s="920">
        <v>4688</v>
      </c>
      <c r="Y53" s="43">
        <v>50</v>
      </c>
      <c r="Z53" s="44">
        <v>10</v>
      </c>
      <c r="AA53" s="44">
        <v>35</v>
      </c>
      <c r="AB53" s="49">
        <v>35</v>
      </c>
      <c r="AC53" s="345">
        <v>3906</v>
      </c>
      <c r="AD53" s="362">
        <v>1400</v>
      </c>
      <c r="AE53" s="292">
        <f t="shared" si="20"/>
        <v>2.79</v>
      </c>
      <c r="AF53" s="43">
        <v>0</v>
      </c>
      <c r="AG53" s="44">
        <v>50</v>
      </c>
      <c r="AH53" s="44">
        <v>40</v>
      </c>
      <c r="AI53" s="45">
        <v>20</v>
      </c>
      <c r="AJ53" s="5">
        <f t="shared" si="19"/>
        <v>12891</v>
      </c>
      <c r="AK53" s="103" t="str">
        <f t="shared" si="22"/>
        <v>A</v>
      </c>
      <c r="AL53" s="862">
        <v>2812</v>
      </c>
      <c r="AM53" s="458">
        <v>750</v>
      </c>
      <c r="AN53" s="295">
        <f t="shared" si="4"/>
        <v>3.7493333333333334</v>
      </c>
      <c r="AO53" s="145">
        <v>55</v>
      </c>
      <c r="AP53" s="85" t="s">
        <v>462</v>
      </c>
      <c r="AQ53" s="297">
        <v>200</v>
      </c>
      <c r="AR53" s="33">
        <v>0</v>
      </c>
      <c r="AS53" s="34">
        <v>0</v>
      </c>
      <c r="AT53" s="34">
        <v>18</v>
      </c>
      <c r="AU53" s="73">
        <v>0</v>
      </c>
      <c r="AV53" s="39">
        <v>300</v>
      </c>
      <c r="AW53" s="143">
        <v>145</v>
      </c>
      <c r="AX53" s="33">
        <v>0</v>
      </c>
      <c r="AY53" s="34">
        <v>0</v>
      </c>
      <c r="AZ53" s="34"/>
      <c r="BA53" s="84">
        <v>0</v>
      </c>
      <c r="BB53" s="586">
        <v>3</v>
      </c>
      <c r="BC53" s="590">
        <v>8.13E-07</v>
      </c>
      <c r="BD53" s="588">
        <f t="shared" si="10"/>
        <v>163.1506881106547</v>
      </c>
      <c r="BE53" s="299"/>
      <c r="BF53" s="300"/>
      <c r="BG53" s="112"/>
      <c r="BH53" s="541"/>
      <c r="BI53" s="301">
        <v>2</v>
      </c>
      <c r="BJ53" s="696" t="s">
        <v>1476</v>
      </c>
      <c r="BK53" s="36" t="s">
        <v>1749</v>
      </c>
      <c r="BL53" s="303" t="s">
        <v>628</v>
      </c>
      <c r="BM53" s="86" t="s">
        <v>421</v>
      </c>
      <c r="BN53" s="303" t="s">
        <v>104</v>
      </c>
      <c r="BO53" s="86"/>
      <c r="BP53" s="1050" t="s">
        <v>216</v>
      </c>
      <c r="BR53" s="1">
        <v>532</v>
      </c>
      <c r="BS53" s="21">
        <v>24700</v>
      </c>
      <c r="BT53" s="606" t="s">
        <v>214</v>
      </c>
      <c r="BU53" s="611">
        <v>6</v>
      </c>
      <c r="BV53" s="601">
        <v>4.5</v>
      </c>
      <c r="BW53" s="329">
        <f t="shared" si="21"/>
        <v>400</v>
      </c>
      <c r="BX53" s="329">
        <f>IF($F53&gt;0,$BW53*$D$208,"")</f>
        <v>509.99999999999994</v>
      </c>
      <c r="BY53" s="329">
        <f>IF($F53&gt;1,$BX53*$D$209,"")</f>
        <v>650.2499999999999</v>
      </c>
      <c r="BZ53" s="329">
        <f>IF($F53&gt;2,$BY53*$D$210,"")</f>
        <v>829.0687499999998</v>
      </c>
      <c r="CA53" s="329">
        <f>IF($F53&gt;3,$BZ53*$D$211,"")</f>
        <v>1057.0626562499997</v>
      </c>
      <c r="CB53" s="329">
        <f>IF($F53&gt;4,$CA53*$D$212,"")</f>
        <v>1347.7548867187495</v>
      </c>
      <c r="CC53" s="329">
        <f>IF($F53&gt;5,$CB53*$D$213,"")</f>
        <v>1718.3874805664054</v>
      </c>
      <c r="CD53" s="329">
        <f>IF($F53&gt;6,$CC53*$D$214,"")</f>
      </c>
      <c r="CE53" s="485" t="s">
        <v>682</v>
      </c>
      <c r="CF53" s="852" t="s">
        <v>516</v>
      </c>
      <c r="CG53" s="440" t="s">
        <v>967</v>
      </c>
      <c r="CH53" s="305">
        <v>40000000</v>
      </c>
      <c r="CI53" s="305">
        <f t="shared" si="6"/>
        <v>12000000</v>
      </c>
      <c r="CJ53" s="306">
        <f t="shared" si="7"/>
        <v>28000000</v>
      </c>
      <c r="CK53" s="307" t="e">
        <f>CJ53-#REF!</f>
        <v>#REF!</v>
      </c>
      <c r="CL53" s="592">
        <v>40000000</v>
      </c>
      <c r="CM53" s="21">
        <f t="shared" si="11"/>
        <v>1</v>
      </c>
      <c r="CN53" s="21">
        <f t="shared" si="12"/>
        <v>3.3333333333333335</v>
      </c>
      <c r="CO53" s="54"/>
      <c r="CP53" s="625">
        <f t="shared" si="13"/>
        <v>130</v>
      </c>
      <c r="CQ53" s="626">
        <f t="shared" si="14"/>
        <v>110</v>
      </c>
      <c r="CR53" s="624" t="str">
        <f t="shared" si="15"/>
        <v>A</v>
      </c>
      <c r="CS53" s="634">
        <f t="shared" si="16"/>
        <v>145</v>
      </c>
      <c r="CT53" s="591">
        <f t="shared" si="8"/>
        <v>13250000</v>
      </c>
      <c r="CU53" s="591">
        <f t="shared" si="9"/>
        <v>181.25</v>
      </c>
      <c r="CV53" s="591">
        <v>15000</v>
      </c>
      <c r="CW53" s="54"/>
      <c r="CX53" s="54"/>
      <c r="CY53" s="54"/>
      <c r="CZ53" s="54"/>
      <c r="DA53" s="54">
        <v>1.6875</v>
      </c>
      <c r="DB53" s="54">
        <v>6.25</v>
      </c>
      <c r="DC53" s="649">
        <f t="shared" si="17"/>
        <v>8.14875</v>
      </c>
    </row>
    <row r="54" spans="1:107" ht="12.75">
      <c r="A54" s="24" t="s">
        <v>838</v>
      </c>
      <c r="B54" s="69" t="s">
        <v>838</v>
      </c>
      <c r="C54" s="319" t="s">
        <v>99</v>
      </c>
      <c r="D54" s="363">
        <v>70</v>
      </c>
      <c r="E54" s="364" t="s">
        <v>258</v>
      </c>
      <c r="F54" s="15">
        <v>4</v>
      </c>
      <c r="G54" s="18">
        <v>5</v>
      </c>
      <c r="H54" s="17">
        <v>8</v>
      </c>
      <c r="I54" s="16">
        <v>3</v>
      </c>
      <c r="J54" s="737">
        <v>5</v>
      </c>
      <c r="K54" s="188">
        <v>3</v>
      </c>
      <c r="L54" s="868">
        <v>425</v>
      </c>
      <c r="M54" s="885">
        <v>1210</v>
      </c>
      <c r="N54" s="106">
        <v>400</v>
      </c>
      <c r="O54" s="454">
        <v>40</v>
      </c>
      <c r="P54" s="531">
        <v>40</v>
      </c>
      <c r="Q54" s="340">
        <v>3419</v>
      </c>
      <c r="R54" s="341">
        <v>475</v>
      </c>
      <c r="S54" s="358">
        <f t="shared" si="0"/>
        <v>1255.261904296875</v>
      </c>
      <c r="T54" s="342">
        <v>12500</v>
      </c>
      <c r="U54" s="343">
        <v>216000</v>
      </c>
      <c r="V54" s="344">
        <v>15000</v>
      </c>
      <c r="W54" s="289">
        <v>0.615</v>
      </c>
      <c r="X54" s="340">
        <v>3906</v>
      </c>
      <c r="Y54" s="43">
        <v>60</v>
      </c>
      <c r="Z54" s="44">
        <v>10</v>
      </c>
      <c r="AA54" s="44">
        <v>25</v>
      </c>
      <c r="AB54" s="49">
        <v>35</v>
      </c>
      <c r="AC54" s="914">
        <v>4395</v>
      </c>
      <c r="AD54" s="362">
        <v>1400</v>
      </c>
      <c r="AE54" s="292">
        <f t="shared" si="20"/>
        <v>3.1392857142857142</v>
      </c>
      <c r="AF54" s="43">
        <v>0</v>
      </c>
      <c r="AG54" s="44">
        <v>50</v>
      </c>
      <c r="AH54" s="44">
        <v>40</v>
      </c>
      <c r="AI54" s="45">
        <v>20</v>
      </c>
      <c r="AJ54" s="5">
        <f t="shared" si="19"/>
        <v>11720</v>
      </c>
      <c r="AK54" s="103" t="str">
        <f t="shared" si="22"/>
        <v>S</v>
      </c>
      <c r="AL54" s="862">
        <v>2187</v>
      </c>
      <c r="AM54" s="458">
        <v>583.33</v>
      </c>
      <c r="AN54" s="295">
        <f>AL54/AM54</f>
        <v>3.7491642809387478</v>
      </c>
      <c r="AO54" s="145">
        <v>45</v>
      </c>
      <c r="AP54" s="85" t="s">
        <v>465</v>
      </c>
      <c r="AQ54" s="297">
        <v>220</v>
      </c>
      <c r="AR54" s="33">
        <v>0</v>
      </c>
      <c r="AS54" s="34">
        <v>0</v>
      </c>
      <c r="AT54" s="34">
        <v>0</v>
      </c>
      <c r="AU54" s="73">
        <v>16</v>
      </c>
      <c r="AV54" s="39">
        <v>240</v>
      </c>
      <c r="AW54" s="143">
        <v>165</v>
      </c>
      <c r="AX54" s="33">
        <v>0</v>
      </c>
      <c r="AY54" s="34">
        <v>0</v>
      </c>
      <c r="AZ54" s="34">
        <v>0</v>
      </c>
      <c r="BA54" s="84">
        <v>8</v>
      </c>
      <c r="BB54" s="586">
        <v>3</v>
      </c>
      <c r="BC54" s="590">
        <v>8.13E-07</v>
      </c>
      <c r="BD54" s="588">
        <f t="shared" si="10"/>
        <v>134.50184501845018</v>
      </c>
      <c r="BE54" s="299"/>
      <c r="BF54" s="300"/>
      <c r="BG54" s="112"/>
      <c r="BH54" s="541"/>
      <c r="BI54" s="301">
        <v>1</v>
      </c>
      <c r="BJ54" s="696" t="s">
        <v>1476</v>
      </c>
      <c r="BK54" s="36" t="s">
        <v>1750</v>
      </c>
      <c r="BL54" s="303" t="s">
        <v>193</v>
      </c>
      <c r="BM54" s="86" t="s">
        <v>294</v>
      </c>
      <c r="BN54" s="303" t="s">
        <v>104</v>
      </c>
      <c r="BO54" s="86"/>
      <c r="BP54" s="1" t="s">
        <v>838</v>
      </c>
      <c r="BR54" s="1">
        <v>690</v>
      </c>
      <c r="BS54" s="21">
        <v>16231</v>
      </c>
      <c r="BT54" s="606"/>
      <c r="BU54" s="601">
        <v>6.25</v>
      </c>
      <c r="BV54" s="601">
        <v>1.6</v>
      </c>
      <c r="BW54" s="329">
        <f t="shared" si="21"/>
        <v>475</v>
      </c>
      <c r="BX54" s="329">
        <f>IF($F54&gt;0,$BW54*$D$208,"")</f>
        <v>605.625</v>
      </c>
      <c r="BY54" s="329">
        <f>IF($F54&gt;1,$BX54*$D$209,"")</f>
        <v>772.171875</v>
      </c>
      <c r="BZ54" s="329">
        <f>IF($F54&gt;2,$BY54*$D$210,"")</f>
        <v>984.519140625</v>
      </c>
      <c r="CA54" s="329">
        <f>IF($F54&gt;3,$BZ54*$D$211,"")</f>
        <v>1255.261904296875</v>
      </c>
      <c r="CB54" s="329">
        <f>IF($F54&gt;4,$CA54*$D$212,"")</f>
      </c>
      <c r="CC54" s="329">
        <f>IF($F54&gt;5,$CB54*$D$213,"")</f>
      </c>
      <c r="CD54" s="329">
        <f>IF($F54&gt;6,$CC54*$D$214,"")</f>
      </c>
      <c r="CE54" s="485" t="s">
        <v>842</v>
      </c>
      <c r="CF54" s="854" t="s">
        <v>921</v>
      </c>
      <c r="CG54" s="440" t="s">
        <v>525</v>
      </c>
      <c r="CH54" s="305">
        <v>22500000</v>
      </c>
      <c r="CI54" s="305">
        <f t="shared" si="6"/>
        <v>6750000</v>
      </c>
      <c r="CJ54" s="306">
        <f t="shared" si="7"/>
        <v>15750000</v>
      </c>
      <c r="CK54" s="307" t="e">
        <f>CJ54-#REF!</f>
        <v>#REF!</v>
      </c>
      <c r="CL54" s="592">
        <v>22500000</v>
      </c>
      <c r="CM54" s="21">
        <f t="shared" si="11"/>
        <v>1</v>
      </c>
      <c r="CN54" s="21">
        <f t="shared" si="12"/>
        <v>3.3333333333333335</v>
      </c>
      <c r="CO54" s="54"/>
      <c r="CP54" s="622">
        <f t="shared" si="13"/>
        <v>130</v>
      </c>
      <c r="CQ54" s="623">
        <f t="shared" si="14"/>
        <v>110</v>
      </c>
      <c r="CR54" s="624" t="str">
        <f t="shared" si="15"/>
        <v>S</v>
      </c>
      <c r="CS54" s="634">
        <f t="shared" si="16"/>
        <v>165</v>
      </c>
      <c r="CT54" s="591">
        <f t="shared" si="8"/>
        <v>12500000</v>
      </c>
      <c r="CU54" s="591">
        <f t="shared" si="9"/>
        <v>206.25</v>
      </c>
      <c r="CV54" s="591">
        <v>15000</v>
      </c>
      <c r="CW54" s="54"/>
      <c r="CX54" s="54"/>
      <c r="CY54" s="54"/>
      <c r="CZ54" s="54"/>
      <c r="DA54" s="54">
        <v>1.6875</v>
      </c>
      <c r="DB54" s="54">
        <v>6.25</v>
      </c>
      <c r="DC54" s="649">
        <f t="shared" si="17"/>
        <v>7.6875</v>
      </c>
    </row>
    <row r="55" spans="1:107" ht="12.75">
      <c r="A55" s="24" t="s">
        <v>296</v>
      </c>
      <c r="B55" s="69" t="s">
        <v>296</v>
      </c>
      <c r="C55" s="319" t="s">
        <v>99</v>
      </c>
      <c r="D55" s="363">
        <v>70</v>
      </c>
      <c r="E55" s="364" t="s">
        <v>258</v>
      </c>
      <c r="F55" s="15">
        <v>6</v>
      </c>
      <c r="G55" s="18">
        <v>4</v>
      </c>
      <c r="H55" s="17">
        <v>8</v>
      </c>
      <c r="I55" s="16">
        <v>3</v>
      </c>
      <c r="J55" s="738">
        <v>6</v>
      </c>
      <c r="K55" s="188">
        <v>3</v>
      </c>
      <c r="L55" s="868">
        <v>400</v>
      </c>
      <c r="M55" s="885">
        <v>1350</v>
      </c>
      <c r="N55" s="106">
        <v>400</v>
      </c>
      <c r="O55" s="454">
        <v>30</v>
      </c>
      <c r="P55" s="531">
        <v>30</v>
      </c>
      <c r="Q55" s="340">
        <v>3516</v>
      </c>
      <c r="R55" s="341">
        <v>475</v>
      </c>
      <c r="S55" s="358">
        <f t="shared" si="0"/>
        <v>2040.5851331726071</v>
      </c>
      <c r="T55" s="342">
        <v>12500</v>
      </c>
      <c r="U55" s="343">
        <v>216000</v>
      </c>
      <c r="V55" s="344">
        <v>15000</v>
      </c>
      <c r="W55" s="289">
        <v>0.615</v>
      </c>
      <c r="X55" s="340">
        <v>4688</v>
      </c>
      <c r="Y55" s="43">
        <v>60</v>
      </c>
      <c r="Z55" s="44">
        <v>10</v>
      </c>
      <c r="AA55" s="44">
        <v>25</v>
      </c>
      <c r="AB55" s="49">
        <v>35</v>
      </c>
      <c r="AC55" s="345">
        <v>4297</v>
      </c>
      <c r="AD55" s="362">
        <v>1400</v>
      </c>
      <c r="AE55" s="292">
        <f t="shared" si="20"/>
        <v>3.0692857142857144</v>
      </c>
      <c r="AF55" s="43">
        <v>0</v>
      </c>
      <c r="AG55" s="44">
        <v>50</v>
      </c>
      <c r="AH55" s="44">
        <v>40</v>
      </c>
      <c r="AI55" s="45">
        <v>20</v>
      </c>
      <c r="AJ55" s="5">
        <f t="shared" si="19"/>
        <v>12501</v>
      </c>
      <c r="AK55" s="103" t="str">
        <f t="shared" si="22"/>
        <v>~</v>
      </c>
      <c r="AL55" s="862">
        <v>2812</v>
      </c>
      <c r="AM55" s="458">
        <v>750</v>
      </c>
      <c r="AN55" s="295">
        <f t="shared" si="4"/>
        <v>3.7493333333333334</v>
      </c>
      <c r="AO55" s="145">
        <v>45</v>
      </c>
      <c r="AP55" s="85" t="s">
        <v>465</v>
      </c>
      <c r="AQ55" s="297">
        <v>220</v>
      </c>
      <c r="AR55" s="33">
        <v>0</v>
      </c>
      <c r="AS55" s="34">
        <v>0</v>
      </c>
      <c r="AT55" s="34">
        <v>0</v>
      </c>
      <c r="AU55" s="73">
        <v>16</v>
      </c>
      <c r="AV55" s="39">
        <v>240</v>
      </c>
      <c r="AW55" s="143">
        <v>165</v>
      </c>
      <c r="AX55" s="33">
        <v>0</v>
      </c>
      <c r="AY55" s="34">
        <v>0</v>
      </c>
      <c r="AZ55" s="34">
        <v>0</v>
      </c>
      <c r="BA55" s="84"/>
      <c r="BB55" s="586">
        <v>3</v>
      </c>
      <c r="BC55" s="590">
        <v>8.13E-07</v>
      </c>
      <c r="BD55" s="588">
        <f t="shared" si="10"/>
        <v>172.93972939729397</v>
      </c>
      <c r="BE55" s="299"/>
      <c r="BF55" s="300"/>
      <c r="BG55" s="112"/>
      <c r="BH55" s="541"/>
      <c r="BI55" s="301">
        <v>2</v>
      </c>
      <c r="BJ55" s="696" t="s">
        <v>1476</v>
      </c>
      <c r="BK55" s="36" t="s">
        <v>1750</v>
      </c>
      <c r="BL55" s="303" t="s">
        <v>257</v>
      </c>
      <c r="BM55" s="86" t="s">
        <v>336</v>
      </c>
      <c r="BN55" s="303" t="s">
        <v>104</v>
      </c>
      <c r="BO55" s="86"/>
      <c r="BP55" s="1050" t="s">
        <v>337</v>
      </c>
      <c r="BR55" s="1">
        <v>580</v>
      </c>
      <c r="BS55" s="21">
        <v>24702</v>
      </c>
      <c r="BT55" s="606"/>
      <c r="BU55" s="601">
        <v>7.5</v>
      </c>
      <c r="BV55" s="601">
        <v>1.2</v>
      </c>
      <c r="BW55" s="329">
        <f t="shared" si="21"/>
        <v>475</v>
      </c>
      <c r="BX55" s="329">
        <f>IF($F55&gt;0,$BW55*$D$208,"")</f>
        <v>605.625</v>
      </c>
      <c r="BY55" s="329">
        <f>IF($F55&gt;1,$BX55*$D$209,"")</f>
        <v>772.171875</v>
      </c>
      <c r="BZ55" s="329">
        <f>IF($F55&gt;2,$BY55*$D$210,"")</f>
        <v>984.519140625</v>
      </c>
      <c r="CA55" s="329">
        <f>IF($F55&gt;3,$BZ55*$D$211,"")</f>
        <v>1255.261904296875</v>
      </c>
      <c r="CB55" s="329">
        <f>IF($F55&gt;4,$CA55*$D$212,"")</f>
        <v>1600.4589279785155</v>
      </c>
      <c r="CC55" s="329">
        <f>IF($F55&gt;5,$CB55*$D$213,"")</f>
        <v>2040.5851331726071</v>
      </c>
      <c r="CD55" s="329">
        <f>IF($F55&gt;6,$CC55*$D$214,"")</f>
      </c>
      <c r="CE55" s="485" t="s">
        <v>728</v>
      </c>
      <c r="CF55" s="852" t="s">
        <v>516</v>
      </c>
      <c r="CG55" s="440" t="s">
        <v>526</v>
      </c>
      <c r="CH55" s="305">
        <v>36500000</v>
      </c>
      <c r="CI55" s="305">
        <f t="shared" si="6"/>
        <v>10950000</v>
      </c>
      <c r="CJ55" s="306">
        <f t="shared" si="7"/>
        <v>25550000</v>
      </c>
      <c r="CK55" s="307" t="e">
        <f>CJ55-#REF!</f>
        <v>#REF!</v>
      </c>
      <c r="CL55" s="592">
        <v>36500000</v>
      </c>
      <c r="CM55" s="21">
        <f t="shared" si="11"/>
        <v>1</v>
      </c>
      <c r="CN55" s="21">
        <f t="shared" si="12"/>
        <v>3.3333333333333335</v>
      </c>
      <c r="CO55" s="54"/>
      <c r="CP55" s="625">
        <f t="shared" si="13"/>
        <v>130</v>
      </c>
      <c r="CQ55" s="623">
        <f t="shared" si="14"/>
        <v>110</v>
      </c>
      <c r="CR55" s="624" t="str">
        <f t="shared" si="15"/>
        <v>~</v>
      </c>
      <c r="CS55" s="634">
        <f t="shared" si="16"/>
        <v>165</v>
      </c>
      <c r="CT55" s="591">
        <f t="shared" si="8"/>
        <v>12500000</v>
      </c>
      <c r="CU55" s="591">
        <f t="shared" si="9"/>
        <v>206.25</v>
      </c>
      <c r="CV55" s="591">
        <v>15000</v>
      </c>
      <c r="CW55" s="54"/>
      <c r="CX55" s="54"/>
      <c r="CY55" s="54"/>
      <c r="CZ55" s="54"/>
      <c r="DA55" s="54">
        <v>1.6875</v>
      </c>
      <c r="DB55" s="54">
        <v>6.25</v>
      </c>
      <c r="DC55" s="649">
        <f t="shared" si="17"/>
        <v>7.6875</v>
      </c>
    </row>
    <row r="56" spans="1:107" ht="12.75">
      <c r="A56" s="24" t="s">
        <v>339</v>
      </c>
      <c r="B56" s="117" t="s">
        <v>340</v>
      </c>
      <c r="C56" s="308" t="s">
        <v>827</v>
      </c>
      <c r="D56" s="367">
        <v>65</v>
      </c>
      <c r="E56" s="119" t="s">
        <v>341</v>
      </c>
      <c r="F56" s="15">
        <v>5</v>
      </c>
      <c r="G56" s="18">
        <v>4</v>
      </c>
      <c r="H56" s="17">
        <v>6</v>
      </c>
      <c r="I56" s="740">
        <v>5</v>
      </c>
      <c r="J56" s="324">
        <v>4</v>
      </c>
      <c r="K56" s="188">
        <v>2</v>
      </c>
      <c r="L56" s="868">
        <v>400</v>
      </c>
      <c r="M56" s="885">
        <v>1030</v>
      </c>
      <c r="N56" s="106">
        <v>400</v>
      </c>
      <c r="O56" s="454">
        <v>15</v>
      </c>
      <c r="P56" s="531">
        <v>15</v>
      </c>
      <c r="Q56" s="340">
        <v>1688</v>
      </c>
      <c r="R56" s="98">
        <v>615</v>
      </c>
      <c r="S56" s="326">
        <f t="shared" si="0"/>
        <v>2072.1731383300776</v>
      </c>
      <c r="T56" s="342">
        <v>12290</v>
      </c>
      <c r="U56" s="343">
        <v>118000</v>
      </c>
      <c r="V56" s="344">
        <v>10000</v>
      </c>
      <c r="W56" s="289">
        <v>0.44</v>
      </c>
      <c r="X56" s="340">
        <v>2088</v>
      </c>
      <c r="Y56" s="729">
        <v>50</v>
      </c>
      <c r="Z56" s="730">
        <v>80</v>
      </c>
      <c r="AA56" s="730">
        <v>62.5</v>
      </c>
      <c r="AB56" s="731">
        <v>35</v>
      </c>
      <c r="AC56" s="345">
        <v>1393</v>
      </c>
      <c r="AD56" s="312">
        <v>1250</v>
      </c>
      <c r="AE56" s="292">
        <f t="shared" si="20"/>
        <v>1.1144</v>
      </c>
      <c r="AF56" s="43">
        <v>0</v>
      </c>
      <c r="AG56" s="44">
        <v>87.5</v>
      </c>
      <c r="AH56" s="44">
        <v>70</v>
      </c>
      <c r="AI56" s="45">
        <v>20</v>
      </c>
      <c r="AJ56" s="5">
        <f t="shared" si="19"/>
        <v>5169</v>
      </c>
      <c r="AK56" s="331" t="s">
        <v>1393</v>
      </c>
      <c r="AL56" s="862">
        <v>1625</v>
      </c>
      <c r="AM56" s="733">
        <v>335</v>
      </c>
      <c r="AN56" s="295">
        <f t="shared" si="4"/>
        <v>4.850746268656716</v>
      </c>
      <c r="AO56" s="145">
        <v>50</v>
      </c>
      <c r="AP56" s="85" t="s">
        <v>462</v>
      </c>
      <c r="AQ56" s="297">
        <v>260</v>
      </c>
      <c r="AR56" s="33">
        <v>15</v>
      </c>
      <c r="AS56" s="34">
        <v>0</v>
      </c>
      <c r="AT56" s="34">
        <v>0</v>
      </c>
      <c r="AU56" s="73">
        <v>0</v>
      </c>
      <c r="AV56" s="39">
        <v>140</v>
      </c>
      <c r="AW56" s="143">
        <v>198</v>
      </c>
      <c r="AX56" s="33">
        <v>8</v>
      </c>
      <c r="AY56" s="34">
        <v>0</v>
      </c>
      <c r="AZ56" s="34">
        <v>0</v>
      </c>
      <c r="BA56" s="84">
        <v>0</v>
      </c>
      <c r="BB56" s="586">
        <v>3.75</v>
      </c>
      <c r="BC56" s="590">
        <v>8.13E-07</v>
      </c>
      <c r="BD56" s="588">
        <f t="shared" si="10"/>
        <v>101.64615478538836</v>
      </c>
      <c r="BE56" s="299"/>
      <c r="BF56" s="300"/>
      <c r="BG56" s="112"/>
      <c r="BH56" s="541"/>
      <c r="BI56" s="301">
        <v>1</v>
      </c>
      <c r="BJ56" s="346" t="s">
        <v>1401</v>
      </c>
      <c r="BK56" s="36" t="s">
        <v>1671</v>
      </c>
      <c r="BL56" s="303" t="s">
        <v>1313</v>
      </c>
      <c r="BM56" s="86" t="s">
        <v>1097</v>
      </c>
      <c r="BN56" s="303" t="s">
        <v>1174</v>
      </c>
      <c r="BO56" s="86"/>
      <c r="BP56" s="1" t="s">
        <v>681</v>
      </c>
      <c r="BR56" s="1">
        <v>268</v>
      </c>
      <c r="BS56" s="21">
        <v>12019</v>
      </c>
      <c r="BT56" s="606"/>
      <c r="BU56" s="601">
        <v>7.5</v>
      </c>
      <c r="BV56" s="601">
        <v>0.6</v>
      </c>
      <c r="BW56" s="329">
        <f t="shared" si="21"/>
        <v>615</v>
      </c>
      <c r="BX56" s="329">
        <f>IF($F56&gt;0,$BW56*$D$208,"")</f>
        <v>784.125</v>
      </c>
      <c r="BY56" s="329">
        <f>IF($F56&gt;1,$BX56*$D$209,"")</f>
        <v>999.759375</v>
      </c>
      <c r="BZ56" s="329">
        <f>IF($F56&gt;2,$BY56*$D$210,"")</f>
        <v>1274.6932031249999</v>
      </c>
      <c r="CA56" s="329">
        <f>IF($F56&gt;3,$BZ56*$D$211,"")</f>
        <v>1625.2338339843748</v>
      </c>
      <c r="CB56" s="329">
        <f>IF($F56&gt;4,$CA56*$D$212,"")</f>
        <v>2072.1731383300776</v>
      </c>
      <c r="CC56" s="329">
        <f>IF($F56&gt;5,$CB56*$D$213,"")</f>
      </c>
      <c r="CD56" s="329">
        <f>IF($F56&gt;6,$CC56*$D$214,"")</f>
      </c>
      <c r="CE56" s="485" t="s">
        <v>851</v>
      </c>
      <c r="CF56" s="855" t="s">
        <v>920</v>
      </c>
      <c r="CG56" s="440" t="s">
        <v>527</v>
      </c>
      <c r="CH56" s="305">
        <v>17350600</v>
      </c>
      <c r="CI56" s="305">
        <f t="shared" si="6"/>
        <v>5205180</v>
      </c>
      <c r="CJ56" s="306">
        <f t="shared" si="7"/>
        <v>12145420</v>
      </c>
      <c r="CK56" s="307" t="e">
        <f>CJ56-#REF!</f>
        <v>#REF!</v>
      </c>
      <c r="CL56" s="592">
        <v>17062600</v>
      </c>
      <c r="CM56" s="21">
        <f t="shared" si="11"/>
        <v>0.9834011503924937</v>
      </c>
      <c r="CN56" s="21">
        <f t="shared" si="12"/>
        <v>3.2780038346416456</v>
      </c>
      <c r="CO56" s="54"/>
      <c r="CP56" s="625">
        <f t="shared" si="13"/>
        <v>227.5</v>
      </c>
      <c r="CQ56" s="626">
        <f t="shared" si="14"/>
        <v>177.5</v>
      </c>
      <c r="CR56" s="624" t="str">
        <f t="shared" si="15"/>
        <v>A</v>
      </c>
      <c r="CS56" s="634">
        <f t="shared" si="16"/>
        <v>198</v>
      </c>
      <c r="CT56" s="591">
        <f t="shared" si="8"/>
        <v>12290000</v>
      </c>
      <c r="CU56" s="591">
        <f t="shared" si="9"/>
        <v>247.5</v>
      </c>
      <c r="CV56" s="591">
        <v>15000</v>
      </c>
      <c r="CW56" s="54"/>
      <c r="CX56" s="54"/>
      <c r="CY56" s="54"/>
      <c r="CZ56" s="54"/>
      <c r="DA56" s="54">
        <v>1.6875</v>
      </c>
      <c r="DB56" s="54">
        <v>6.25</v>
      </c>
      <c r="DC56" s="649">
        <f t="shared" si="17"/>
        <v>5.4076</v>
      </c>
    </row>
    <row r="57" spans="1:107" ht="12.75">
      <c r="A57" s="24" t="s">
        <v>683</v>
      </c>
      <c r="B57" s="117" t="s">
        <v>684</v>
      </c>
      <c r="C57" s="308" t="s">
        <v>827</v>
      </c>
      <c r="D57" s="367">
        <v>65</v>
      </c>
      <c r="E57" s="119" t="s">
        <v>341</v>
      </c>
      <c r="F57" s="15">
        <v>7</v>
      </c>
      <c r="G57" s="18">
        <v>3</v>
      </c>
      <c r="H57" s="17">
        <v>5</v>
      </c>
      <c r="I57" s="280">
        <v>0</v>
      </c>
      <c r="J57" s="804">
        <v>5</v>
      </c>
      <c r="K57" s="188">
        <v>2</v>
      </c>
      <c r="L57" s="868">
        <v>320</v>
      </c>
      <c r="M57" s="885">
        <v>1180</v>
      </c>
      <c r="N57" s="106">
        <v>400</v>
      </c>
      <c r="O57" s="454">
        <v>0</v>
      </c>
      <c r="P57" s="531">
        <v>0</v>
      </c>
      <c r="Q57" s="340">
        <v>1688</v>
      </c>
      <c r="R57" s="98">
        <v>240</v>
      </c>
      <c r="S57" s="326">
        <f t="shared" si="0"/>
        <v>1314.5664226333004</v>
      </c>
      <c r="T57" s="342">
        <v>12580</v>
      </c>
      <c r="U57" s="343">
        <v>118000</v>
      </c>
      <c r="V57" s="344">
        <v>10000</v>
      </c>
      <c r="W57" s="289">
        <v>0.43</v>
      </c>
      <c r="X57" s="340">
        <v>2250</v>
      </c>
      <c r="Y57" s="43">
        <v>50</v>
      </c>
      <c r="Z57" s="44">
        <v>80</v>
      </c>
      <c r="AA57" s="44">
        <v>62.5</v>
      </c>
      <c r="AB57" s="49">
        <v>35</v>
      </c>
      <c r="AC57" s="345">
        <v>984</v>
      </c>
      <c r="AD57" s="312">
        <v>1250</v>
      </c>
      <c r="AE57" s="292">
        <f t="shared" si="20"/>
        <v>0.7872</v>
      </c>
      <c r="AF57" s="43">
        <v>0</v>
      </c>
      <c r="AG57" s="44">
        <v>87.5</v>
      </c>
      <c r="AH57" s="44">
        <v>70</v>
      </c>
      <c r="AI57" s="45">
        <v>20</v>
      </c>
      <c r="AJ57" s="5">
        <f t="shared" si="19"/>
        <v>4922</v>
      </c>
      <c r="AK57" s="103" t="str">
        <f aca="true" t="shared" si="23" ref="AK57:AK92">IF($X57=$AC57,"=",IF(MAX($AC57,$X57)*0.1&gt;ABS($X57-$AC57),"~",IF(MAX($AC57,$X57)=$X57,"A","S")))</f>
        <v>A</v>
      </c>
      <c r="AL57" s="862">
        <v>1500</v>
      </c>
      <c r="AM57" s="458">
        <v>335</v>
      </c>
      <c r="AN57" s="295">
        <f t="shared" si="4"/>
        <v>4.477611940298507</v>
      </c>
      <c r="AO57" s="145">
        <v>55</v>
      </c>
      <c r="AP57" s="85" t="s">
        <v>465</v>
      </c>
      <c r="AQ57" s="297">
        <v>255</v>
      </c>
      <c r="AR57" s="33">
        <v>13</v>
      </c>
      <c r="AS57" s="34">
        <v>0</v>
      </c>
      <c r="AT57" s="34">
        <v>0</v>
      </c>
      <c r="AU57" s="73">
        <v>0</v>
      </c>
      <c r="AV57" s="39">
        <v>125</v>
      </c>
      <c r="AW57" s="143">
        <v>209</v>
      </c>
      <c r="AX57" s="33">
        <v>8</v>
      </c>
      <c r="AY57" s="34">
        <v>0</v>
      </c>
      <c r="AZ57" s="34">
        <v>0</v>
      </c>
      <c r="BA57" s="84">
        <v>0</v>
      </c>
      <c r="BB57" s="586">
        <v>3.75</v>
      </c>
      <c r="BC57" s="590">
        <v>8.13E-07</v>
      </c>
      <c r="BD57" s="588">
        <f t="shared" si="10"/>
        <v>91.66427117371333</v>
      </c>
      <c r="BE57" s="299"/>
      <c r="BF57" s="300"/>
      <c r="BG57" s="112"/>
      <c r="BH57" s="541"/>
      <c r="BI57" s="301">
        <v>2</v>
      </c>
      <c r="BJ57" s="346" t="s">
        <v>1401</v>
      </c>
      <c r="BK57" s="13" t="s">
        <v>136</v>
      </c>
      <c r="BL57" s="303" t="s">
        <v>1333</v>
      </c>
      <c r="BM57" s="86" t="s">
        <v>840</v>
      </c>
      <c r="BN57" s="303" t="s">
        <v>1175</v>
      </c>
      <c r="BO57" s="86"/>
      <c r="BP57" s="1" t="s">
        <v>841</v>
      </c>
      <c r="BR57" s="1">
        <v>268</v>
      </c>
      <c r="BS57" s="21">
        <v>12003</v>
      </c>
      <c r="BT57" s="605"/>
      <c r="BU57" s="601">
        <v>7.5</v>
      </c>
      <c r="BV57" s="601">
        <v>0</v>
      </c>
      <c r="BW57" s="329">
        <f t="shared" si="21"/>
        <v>240</v>
      </c>
      <c r="BX57" s="329">
        <f>IF($F57&gt;0,$BW57*$D$208,"")</f>
        <v>306</v>
      </c>
      <c r="BY57" s="329">
        <f>IF($F57&gt;1,$BX57*$D$209,"")</f>
        <v>390.15</v>
      </c>
      <c r="BZ57" s="329">
        <f>IF($F57&gt;2,$BY57*$D$210,"")</f>
        <v>497.4412499999999</v>
      </c>
      <c r="CA57" s="329">
        <f>IF($F57&gt;3,$BZ57*$D$211,"")</f>
        <v>634.2375937499999</v>
      </c>
      <c r="CB57" s="329">
        <f>IF($F57&gt;4,$CA57*$D$212,"")</f>
        <v>808.6529320312497</v>
      </c>
      <c r="CC57" s="329">
        <f>IF($F57&gt;5,$CB57*$D$213,"")</f>
        <v>1031.0324883398434</v>
      </c>
      <c r="CD57" s="329">
        <f>IF($F57&gt;6,$CC57*$D$214,"")</f>
        <v>1314.5664226333004</v>
      </c>
      <c r="CE57" s="485" t="s">
        <v>1220</v>
      </c>
      <c r="CF57" s="855" t="s">
        <v>920</v>
      </c>
      <c r="CG57" s="440" t="s">
        <v>528</v>
      </c>
      <c r="CH57" s="305">
        <v>18253816</v>
      </c>
      <c r="CI57" s="305">
        <f t="shared" si="6"/>
        <v>5476144.8</v>
      </c>
      <c r="CJ57" s="306">
        <f t="shared" si="7"/>
        <v>12777671.2</v>
      </c>
      <c r="CK57" s="307" t="e">
        <f>CJ57-#REF!</f>
        <v>#REF!</v>
      </c>
      <c r="CL57" s="592">
        <v>17956216</v>
      </c>
      <c r="CM57" s="21">
        <f t="shared" si="11"/>
        <v>0.9836965596673046</v>
      </c>
      <c r="CN57" s="21">
        <f t="shared" si="12"/>
        <v>3.278988532224349</v>
      </c>
      <c r="CO57" s="54"/>
      <c r="CP57" s="625">
        <f t="shared" si="13"/>
        <v>227.5</v>
      </c>
      <c r="CQ57" s="626">
        <f t="shared" si="14"/>
        <v>177.5</v>
      </c>
      <c r="CR57" s="624" t="str">
        <f t="shared" si="15"/>
        <v>A</v>
      </c>
      <c r="CS57" s="634">
        <f t="shared" si="16"/>
        <v>209</v>
      </c>
      <c r="CT57" s="591">
        <f t="shared" si="8"/>
        <v>12580000</v>
      </c>
      <c r="CU57" s="591">
        <f t="shared" si="9"/>
        <v>261.25</v>
      </c>
      <c r="CV57" s="591">
        <v>15000</v>
      </c>
      <c r="CW57" s="54"/>
      <c r="CX57" s="54"/>
      <c r="CY57" s="54"/>
      <c r="CZ57" s="54"/>
      <c r="DA57" s="54">
        <v>1.6875</v>
      </c>
      <c r="DB57" s="54">
        <v>6.25</v>
      </c>
      <c r="DC57" s="649">
        <f t="shared" si="17"/>
        <v>5.4094</v>
      </c>
    </row>
    <row r="58" spans="1:107" ht="12.75">
      <c r="A58" s="24" t="s">
        <v>843</v>
      </c>
      <c r="B58" s="117" t="s">
        <v>641</v>
      </c>
      <c r="C58" s="636" t="s">
        <v>865</v>
      </c>
      <c r="D58" s="367">
        <v>65</v>
      </c>
      <c r="E58" s="119" t="s">
        <v>341</v>
      </c>
      <c r="F58" s="15">
        <v>4</v>
      </c>
      <c r="G58" s="18">
        <v>5</v>
      </c>
      <c r="H58" s="17">
        <v>6</v>
      </c>
      <c r="I58" s="740">
        <v>5</v>
      </c>
      <c r="J58" s="187">
        <v>0</v>
      </c>
      <c r="K58" s="188">
        <v>2</v>
      </c>
      <c r="L58" s="868">
        <v>440</v>
      </c>
      <c r="M58" s="884">
        <v>635</v>
      </c>
      <c r="N58" s="106">
        <v>400</v>
      </c>
      <c r="O58" s="454">
        <v>0</v>
      </c>
      <c r="P58" s="531">
        <v>0</v>
      </c>
      <c r="Q58" s="340">
        <v>1406</v>
      </c>
      <c r="R58" s="98">
        <v>650</v>
      </c>
      <c r="S58" s="326">
        <f t="shared" si="0"/>
        <v>1717.7268164062496</v>
      </c>
      <c r="T58" s="342">
        <v>12720</v>
      </c>
      <c r="U58" s="343">
        <v>92000</v>
      </c>
      <c r="V58" s="344">
        <v>10000</v>
      </c>
      <c r="W58" s="289">
        <v>0.36</v>
      </c>
      <c r="X58" s="340">
        <v>1196</v>
      </c>
      <c r="Y58" s="43">
        <v>50</v>
      </c>
      <c r="Z58" s="44">
        <v>10</v>
      </c>
      <c r="AA58" s="44">
        <v>62.5</v>
      </c>
      <c r="AB58" s="49">
        <v>86.25</v>
      </c>
      <c r="AC58" s="345">
        <v>2004</v>
      </c>
      <c r="AD58" s="312">
        <v>1250</v>
      </c>
      <c r="AE58" s="292">
        <f t="shared" si="20"/>
        <v>1.6032</v>
      </c>
      <c r="AF58" s="43">
        <v>0</v>
      </c>
      <c r="AG58" s="44">
        <v>50</v>
      </c>
      <c r="AH58" s="44">
        <v>70</v>
      </c>
      <c r="AI58" s="45">
        <v>80</v>
      </c>
      <c r="AJ58" s="5">
        <f t="shared" si="19"/>
        <v>4606</v>
      </c>
      <c r="AK58" s="103" t="str">
        <f t="shared" si="23"/>
        <v>S</v>
      </c>
      <c r="AL58" s="862">
        <v>1062</v>
      </c>
      <c r="AM58" s="458">
        <v>335</v>
      </c>
      <c r="AN58" s="295">
        <f t="shared" si="4"/>
        <v>3.1701492537313434</v>
      </c>
      <c r="AO58" s="145">
        <v>80</v>
      </c>
      <c r="AP58" s="85" t="s">
        <v>465</v>
      </c>
      <c r="AQ58" s="297">
        <v>235</v>
      </c>
      <c r="AR58" s="33">
        <v>0</v>
      </c>
      <c r="AS58" s="34">
        <v>16</v>
      </c>
      <c r="AT58" s="34">
        <v>0</v>
      </c>
      <c r="AU58" s="73">
        <v>0</v>
      </c>
      <c r="AV58" s="39">
        <v>135</v>
      </c>
      <c r="AW58" s="143">
        <v>175</v>
      </c>
      <c r="AX58" s="33">
        <v>0</v>
      </c>
      <c r="AY58" s="34">
        <v>7</v>
      </c>
      <c r="AZ58" s="34">
        <v>0</v>
      </c>
      <c r="BA58" s="84">
        <v>0</v>
      </c>
      <c r="BB58" s="586">
        <v>3.75</v>
      </c>
      <c r="BC58" s="590">
        <v>8.13E-07</v>
      </c>
      <c r="BD58" s="588">
        <f t="shared" si="10"/>
        <v>64.18401448165424</v>
      </c>
      <c r="BE58" s="299"/>
      <c r="BF58" s="300"/>
      <c r="BG58" s="112"/>
      <c r="BH58" s="541"/>
      <c r="BI58" s="301">
        <v>2</v>
      </c>
      <c r="BJ58" s="346" t="s">
        <v>1401</v>
      </c>
      <c r="BK58" s="36" t="s">
        <v>1671</v>
      </c>
      <c r="BL58" s="303" t="s">
        <v>524</v>
      </c>
      <c r="BM58" s="86" t="s">
        <v>727</v>
      </c>
      <c r="BN58" s="303" t="s">
        <v>1229</v>
      </c>
      <c r="BO58" s="86"/>
      <c r="BP58" s="1" t="s">
        <v>217</v>
      </c>
      <c r="BR58" s="1">
        <v>442</v>
      </c>
      <c r="BS58" s="21">
        <v>11993</v>
      </c>
      <c r="BT58" s="605"/>
      <c r="BU58" s="601">
        <v>7.5</v>
      </c>
      <c r="BV58" s="601">
        <v>0</v>
      </c>
      <c r="BW58" s="329">
        <f t="shared" si="21"/>
        <v>650</v>
      </c>
      <c r="BX58" s="329">
        <f>IF($F58&gt;0,$BW58*$D$208,"")</f>
        <v>828.7499999999999</v>
      </c>
      <c r="BY58" s="329">
        <f>IF($F58&gt;1,$BX58*$D$209,"")</f>
        <v>1056.6562499999998</v>
      </c>
      <c r="BZ58" s="329">
        <f>IF($F58&gt;2,$BY58*$D$210,"")</f>
        <v>1347.2367187499997</v>
      </c>
      <c r="CA58" s="329">
        <f>IF($F58&gt;3,$BZ58*$D$211,"")</f>
        <v>1717.7268164062496</v>
      </c>
      <c r="CB58" s="329">
        <f>IF($F58&gt;4,$CA58*$D$212,"")</f>
      </c>
      <c r="CC58" s="329">
        <f>IF($F58&gt;5,$CB58*$D$213,"")</f>
      </c>
      <c r="CD58" s="329">
        <f>IF($F58&gt;6,$CC58*$D$214,"")</f>
      </c>
      <c r="CE58" s="485" t="s">
        <v>739</v>
      </c>
      <c r="CF58" s="855" t="s">
        <v>920</v>
      </c>
      <c r="CG58" s="440" t="s">
        <v>1136</v>
      </c>
      <c r="CH58" s="305">
        <v>18248550</v>
      </c>
      <c r="CI58" s="305">
        <f t="shared" si="6"/>
        <v>5474565</v>
      </c>
      <c r="CJ58" s="306">
        <f t="shared" si="7"/>
        <v>12773985</v>
      </c>
      <c r="CK58" s="307" t="e">
        <f>CJ58-#REF!</f>
        <v>#REF!</v>
      </c>
      <c r="CL58" s="592">
        <v>17062524</v>
      </c>
      <c r="CM58" s="21">
        <f t="shared" si="11"/>
        <v>0.9350071101539574</v>
      </c>
      <c r="CN58" s="21">
        <f t="shared" si="12"/>
        <v>3.1166903671798583</v>
      </c>
      <c r="CO58" s="54"/>
      <c r="CP58" s="622">
        <f t="shared" si="13"/>
        <v>208.75</v>
      </c>
      <c r="CQ58" s="623">
        <f t="shared" si="14"/>
        <v>200</v>
      </c>
      <c r="CR58" s="624" t="str">
        <f t="shared" si="15"/>
        <v>S</v>
      </c>
      <c r="CS58" s="634">
        <f t="shared" si="16"/>
        <v>175</v>
      </c>
      <c r="CT58" s="591">
        <f t="shared" si="8"/>
        <v>12720000</v>
      </c>
      <c r="CU58" s="591">
        <f t="shared" si="9"/>
        <v>218.75</v>
      </c>
      <c r="CV58" s="591">
        <v>15000</v>
      </c>
      <c r="CW58" s="54"/>
      <c r="CX58" s="54"/>
      <c r="CY58" s="54"/>
      <c r="CZ58" s="54"/>
      <c r="DA58" s="54">
        <v>1.6875</v>
      </c>
      <c r="DB58" s="54">
        <v>6.25</v>
      </c>
      <c r="DC58" s="649">
        <f t="shared" si="17"/>
        <v>4.5792</v>
      </c>
    </row>
    <row r="59" spans="1:107" ht="12.75">
      <c r="A59" s="24" t="s">
        <v>729</v>
      </c>
      <c r="B59" s="117" t="s">
        <v>1084</v>
      </c>
      <c r="C59" s="636" t="s">
        <v>865</v>
      </c>
      <c r="D59" s="367">
        <v>65</v>
      </c>
      <c r="E59" s="119" t="s">
        <v>341</v>
      </c>
      <c r="F59" s="15">
        <v>4</v>
      </c>
      <c r="G59" s="18">
        <v>5</v>
      </c>
      <c r="H59" s="17">
        <v>6</v>
      </c>
      <c r="I59" s="16">
        <v>2</v>
      </c>
      <c r="J59" s="737">
        <v>5</v>
      </c>
      <c r="K59" s="188">
        <v>2</v>
      </c>
      <c r="L59" s="868">
        <v>438</v>
      </c>
      <c r="M59" s="885">
        <v>875</v>
      </c>
      <c r="N59" s="106">
        <v>400</v>
      </c>
      <c r="O59" s="454">
        <v>0</v>
      </c>
      <c r="P59" s="531">
        <v>0</v>
      </c>
      <c r="Q59" s="340">
        <v>1547</v>
      </c>
      <c r="R59" s="98">
        <v>450</v>
      </c>
      <c r="S59" s="326">
        <f t="shared" si="0"/>
        <v>1189.19548828125</v>
      </c>
      <c r="T59" s="342">
        <v>11720</v>
      </c>
      <c r="U59" s="343">
        <v>101000</v>
      </c>
      <c r="V59" s="344">
        <v>10000</v>
      </c>
      <c r="W59" s="289">
        <v>0.45</v>
      </c>
      <c r="X59" s="340">
        <v>1266</v>
      </c>
      <c r="Y59" s="43">
        <v>50</v>
      </c>
      <c r="Z59" s="44">
        <v>10</v>
      </c>
      <c r="AA59" s="44">
        <v>62.5</v>
      </c>
      <c r="AB59" s="49">
        <v>86.25</v>
      </c>
      <c r="AC59" s="345">
        <v>2109</v>
      </c>
      <c r="AD59" s="312">
        <v>1250</v>
      </c>
      <c r="AE59" s="292">
        <f t="shared" si="20"/>
        <v>1.6872</v>
      </c>
      <c r="AF59" s="729">
        <v>0</v>
      </c>
      <c r="AG59" s="730">
        <v>50</v>
      </c>
      <c r="AH59" s="730">
        <v>70</v>
      </c>
      <c r="AI59" s="745">
        <v>80</v>
      </c>
      <c r="AJ59" s="5">
        <f t="shared" si="19"/>
        <v>4922</v>
      </c>
      <c r="AK59" s="103" t="str">
        <f t="shared" si="23"/>
        <v>S</v>
      </c>
      <c r="AL59" s="862">
        <v>1375</v>
      </c>
      <c r="AM59" s="458">
        <v>335</v>
      </c>
      <c r="AN59" s="295">
        <f t="shared" si="4"/>
        <v>4.104477611940299</v>
      </c>
      <c r="AO59" s="145">
        <v>70</v>
      </c>
      <c r="AP59" s="85" t="s">
        <v>990</v>
      </c>
      <c r="AQ59" s="297">
        <v>210</v>
      </c>
      <c r="AR59" s="33">
        <v>0</v>
      </c>
      <c r="AS59" s="34">
        <v>18</v>
      </c>
      <c r="AT59" s="34">
        <v>0</v>
      </c>
      <c r="AU59" s="73">
        <v>0</v>
      </c>
      <c r="AV59" s="39">
        <v>150</v>
      </c>
      <c r="AW59" s="143">
        <v>164</v>
      </c>
      <c r="AX59" s="33">
        <v>0</v>
      </c>
      <c r="AY59" s="34">
        <v>7</v>
      </c>
      <c r="AZ59" s="34">
        <v>0</v>
      </c>
      <c r="BA59" s="84">
        <v>0</v>
      </c>
      <c r="BB59" s="586">
        <v>3.75</v>
      </c>
      <c r="BC59" s="590">
        <v>8.13E-07</v>
      </c>
      <c r="BD59" s="588">
        <f t="shared" si="10"/>
        <v>90.19128160564883</v>
      </c>
      <c r="BE59" s="299"/>
      <c r="BF59" s="300"/>
      <c r="BG59" s="112"/>
      <c r="BH59" s="541"/>
      <c r="BI59" s="301">
        <v>1</v>
      </c>
      <c r="BJ59" s="346" t="s">
        <v>1401</v>
      </c>
      <c r="BK59" s="13" t="s">
        <v>136</v>
      </c>
      <c r="BL59" s="303" t="s">
        <v>730</v>
      </c>
      <c r="BM59" s="86" t="s">
        <v>626</v>
      </c>
      <c r="BN59" s="303" t="s">
        <v>1080</v>
      </c>
      <c r="BO59" s="86"/>
      <c r="BP59" s="1" t="s">
        <v>627</v>
      </c>
      <c r="BR59" s="1">
        <v>399</v>
      </c>
      <c r="BS59" s="21">
        <v>12011</v>
      </c>
      <c r="BT59" s="605"/>
      <c r="BU59" s="600">
        <v>6.25</v>
      </c>
      <c r="BV59" s="601">
        <v>0</v>
      </c>
      <c r="BW59" s="329">
        <f t="shared" si="21"/>
        <v>450</v>
      </c>
      <c r="BX59" s="329">
        <f>IF($F59&gt;0,$BW59*$D$208,"")</f>
        <v>573.75</v>
      </c>
      <c r="BY59" s="329">
        <f>IF($F59&gt;1,$BX59*$D$209,"")</f>
        <v>731.53125</v>
      </c>
      <c r="BZ59" s="329">
        <f>IF($F59&gt;2,$BY59*$D$210,"")</f>
        <v>932.70234375</v>
      </c>
      <c r="CA59" s="329">
        <f>IF($F59&gt;3,$BZ59*$D$211,"")</f>
        <v>1189.19548828125</v>
      </c>
      <c r="CB59" s="329">
        <f>IF($F59&gt;4,$CA59*$D$212,"")</f>
      </c>
      <c r="CC59" s="329">
        <f>IF($F59&gt;5,$CB59*$D$213,"")</f>
      </c>
      <c r="CD59" s="329">
        <f>IF($F59&gt;6,$CC59*$D$214,"")</f>
      </c>
      <c r="CE59" s="485" t="s">
        <v>153</v>
      </c>
      <c r="CF59" s="855" t="s">
        <v>920</v>
      </c>
      <c r="CG59" s="440" t="s">
        <v>588</v>
      </c>
      <c r="CH59" s="305">
        <v>17350524</v>
      </c>
      <c r="CI59" s="305">
        <f t="shared" si="6"/>
        <v>5205157.2</v>
      </c>
      <c r="CJ59" s="306">
        <f t="shared" si="7"/>
        <v>12145366.8</v>
      </c>
      <c r="CK59" s="307" t="e">
        <f>CJ59-#REF!</f>
        <v>#REF!</v>
      </c>
      <c r="CL59" s="592">
        <v>17950950</v>
      </c>
      <c r="CM59" s="21">
        <f t="shared" si="11"/>
        <v>1.0346056407287756</v>
      </c>
      <c r="CN59" s="21">
        <f t="shared" si="12"/>
        <v>3.4486854690959188</v>
      </c>
      <c r="CO59" s="54"/>
      <c r="CP59" s="622">
        <f t="shared" si="13"/>
        <v>208.75</v>
      </c>
      <c r="CQ59" s="623">
        <f t="shared" si="14"/>
        <v>200</v>
      </c>
      <c r="CR59" s="624" t="str">
        <f t="shared" si="15"/>
        <v>S</v>
      </c>
      <c r="CS59" s="634">
        <f t="shared" si="16"/>
        <v>164</v>
      </c>
      <c r="CT59" s="591">
        <f t="shared" si="8"/>
        <v>11720000</v>
      </c>
      <c r="CU59" s="591">
        <f t="shared" si="9"/>
        <v>205</v>
      </c>
      <c r="CV59" s="591">
        <v>15000</v>
      </c>
      <c r="CW59" s="54"/>
      <c r="CX59" s="54"/>
      <c r="CY59" s="54"/>
      <c r="CZ59" s="54"/>
      <c r="DA59" s="54">
        <v>1.6875</v>
      </c>
      <c r="DB59" s="54">
        <v>6.25</v>
      </c>
      <c r="DC59" s="649">
        <f t="shared" si="17"/>
        <v>5.274</v>
      </c>
    </row>
    <row r="60" spans="1:107" ht="12.75">
      <c r="A60" s="24" t="s">
        <v>852</v>
      </c>
      <c r="B60" s="117" t="s">
        <v>141</v>
      </c>
      <c r="C60" s="315" t="s">
        <v>1042</v>
      </c>
      <c r="D60" s="367">
        <v>65</v>
      </c>
      <c r="E60" s="119" t="s">
        <v>341</v>
      </c>
      <c r="F60" s="15">
        <v>6</v>
      </c>
      <c r="G60" s="18">
        <v>3</v>
      </c>
      <c r="H60" s="17">
        <v>6</v>
      </c>
      <c r="I60" s="16">
        <v>0</v>
      </c>
      <c r="J60" s="186">
        <v>5</v>
      </c>
      <c r="K60" s="188">
        <v>2</v>
      </c>
      <c r="L60" s="868">
        <v>350</v>
      </c>
      <c r="M60" s="885">
        <v>990</v>
      </c>
      <c r="N60" s="106">
        <v>400</v>
      </c>
      <c r="O60" s="454">
        <v>50</v>
      </c>
      <c r="P60" s="531">
        <v>50</v>
      </c>
      <c r="Q60" s="340">
        <v>2531</v>
      </c>
      <c r="R60" s="98">
        <v>315</v>
      </c>
      <c r="S60" s="326">
        <f t="shared" si="0"/>
        <v>1353.2301409460447</v>
      </c>
      <c r="T60" s="342">
        <v>11460</v>
      </c>
      <c r="U60" s="343">
        <v>112000</v>
      </c>
      <c r="V60" s="344">
        <v>10000</v>
      </c>
      <c r="W60" s="289">
        <v>0.435</v>
      </c>
      <c r="X60" s="340">
        <v>2040</v>
      </c>
      <c r="Y60" s="43">
        <v>50</v>
      </c>
      <c r="Z60" s="44">
        <v>10</v>
      </c>
      <c r="AA60" s="44">
        <v>83.75</v>
      </c>
      <c r="AB60" s="49">
        <v>67.5</v>
      </c>
      <c r="AC60" s="345">
        <v>1160</v>
      </c>
      <c r="AD60" s="312">
        <v>1250</v>
      </c>
      <c r="AE60" s="292">
        <f t="shared" si="20"/>
        <v>0.928</v>
      </c>
      <c r="AF60" s="43">
        <v>0</v>
      </c>
      <c r="AG60" s="44">
        <v>50</v>
      </c>
      <c r="AH60" s="44">
        <v>85</v>
      </c>
      <c r="AI60" s="45">
        <v>60</v>
      </c>
      <c r="AJ60" s="5">
        <f t="shared" si="19"/>
        <v>5731</v>
      </c>
      <c r="AK60" s="103" t="str">
        <f t="shared" si="23"/>
        <v>A</v>
      </c>
      <c r="AL60" s="862">
        <v>1375</v>
      </c>
      <c r="AM60" s="458">
        <v>335</v>
      </c>
      <c r="AN60" s="295">
        <f t="shared" si="4"/>
        <v>4.104477611940299</v>
      </c>
      <c r="AO60" s="145">
        <v>65</v>
      </c>
      <c r="AP60" s="85" t="s">
        <v>465</v>
      </c>
      <c r="AQ60" s="297">
        <v>225</v>
      </c>
      <c r="AR60" s="33">
        <v>0</v>
      </c>
      <c r="AS60" s="34">
        <v>0</v>
      </c>
      <c r="AT60" s="34">
        <v>15</v>
      </c>
      <c r="AU60" s="73">
        <v>0</v>
      </c>
      <c r="AV60" s="39">
        <v>160</v>
      </c>
      <c r="AW60" s="923">
        <v>198</v>
      </c>
      <c r="AX60" s="33">
        <v>0</v>
      </c>
      <c r="AY60" s="34">
        <v>0</v>
      </c>
      <c r="AZ60" s="34">
        <v>8</v>
      </c>
      <c r="BA60" s="84">
        <v>0</v>
      </c>
      <c r="BB60" s="586">
        <v>3.75</v>
      </c>
      <c r="BC60" s="590">
        <v>8.13E-07</v>
      </c>
      <c r="BD60" s="588">
        <f t="shared" si="10"/>
        <v>92.23750614469496</v>
      </c>
      <c r="BE60" s="299"/>
      <c r="BF60" s="300"/>
      <c r="BG60" s="112"/>
      <c r="BH60" s="541"/>
      <c r="BI60" s="301">
        <v>1</v>
      </c>
      <c r="BJ60" s="346" t="s">
        <v>1401</v>
      </c>
      <c r="BK60" s="13" t="s">
        <v>136</v>
      </c>
      <c r="BL60" s="303" t="s">
        <v>1303</v>
      </c>
      <c r="BM60" s="86" t="s">
        <v>1218</v>
      </c>
      <c r="BN60" s="303" t="s">
        <v>1081</v>
      </c>
      <c r="BO60" s="86"/>
      <c r="BP60" s="1" t="s">
        <v>1219</v>
      </c>
      <c r="BR60" s="1">
        <v>334</v>
      </c>
      <c r="BS60" s="21">
        <v>12023</v>
      </c>
      <c r="BT60" s="605"/>
      <c r="BU60" s="600">
        <v>7.5</v>
      </c>
      <c r="BV60" s="601">
        <v>2</v>
      </c>
      <c r="BW60" s="329">
        <f t="shared" si="21"/>
        <v>315</v>
      </c>
      <c r="BX60" s="329">
        <f>IF($F60&gt;0,$BW60*$D$208,"")</f>
        <v>401.625</v>
      </c>
      <c r="BY60" s="329">
        <f>IF($F60&gt;1,$BX60*$D$209,"")</f>
        <v>512.071875</v>
      </c>
      <c r="BZ60" s="329">
        <f>IF($F60&gt;2,$BY60*$D$210,"")</f>
        <v>652.8916406249999</v>
      </c>
      <c r="CA60" s="329">
        <f>IF($F60&gt;3,$BZ60*$D$211,"")</f>
        <v>832.4368417968749</v>
      </c>
      <c r="CB60" s="329">
        <f>IF($F60&gt;4,$CA60*$D$212,"")</f>
        <v>1061.3569732910155</v>
      </c>
      <c r="CC60" s="329">
        <f>IF($F60&gt;5,$CB60*$D$213,"")</f>
        <v>1353.2301409460447</v>
      </c>
      <c r="CD60" s="329">
        <f>IF($F60&gt;6,$CC60*$D$214,"")</f>
      </c>
      <c r="CE60" s="485" t="s">
        <v>158</v>
      </c>
      <c r="CF60" s="855" t="s">
        <v>920</v>
      </c>
      <c r="CG60" s="440" t="s">
        <v>589</v>
      </c>
      <c r="CH60" s="305">
        <v>17760188</v>
      </c>
      <c r="CI60" s="305">
        <f t="shared" si="6"/>
        <v>5328056.399999999</v>
      </c>
      <c r="CJ60" s="306">
        <f t="shared" si="7"/>
        <v>12432131.600000001</v>
      </c>
      <c r="CK60" s="307" t="e">
        <f>CJ60-#REF!</f>
        <v>#REF!</v>
      </c>
      <c r="CL60" s="592">
        <v>17062588</v>
      </c>
      <c r="CM60" s="21">
        <f t="shared" si="11"/>
        <v>0.9607211365104918</v>
      </c>
      <c r="CN60" s="21">
        <f t="shared" si="12"/>
        <v>3.2024037883683065</v>
      </c>
      <c r="CO60" s="54"/>
      <c r="CP60" s="625">
        <f t="shared" si="13"/>
        <v>211.25</v>
      </c>
      <c r="CQ60" s="626">
        <f t="shared" si="14"/>
        <v>195</v>
      </c>
      <c r="CR60" s="624" t="str">
        <f t="shared" si="15"/>
        <v>A</v>
      </c>
      <c r="CS60" s="634">
        <f t="shared" si="16"/>
        <v>198</v>
      </c>
      <c r="CT60" s="591">
        <f t="shared" si="8"/>
        <v>11460000</v>
      </c>
      <c r="CU60" s="591">
        <f t="shared" si="9"/>
        <v>247.5</v>
      </c>
      <c r="CV60" s="591">
        <v>15000</v>
      </c>
      <c r="CW60" s="54"/>
      <c r="CX60" s="54"/>
      <c r="CY60" s="54"/>
      <c r="CZ60" s="54"/>
      <c r="DA60" s="54">
        <v>1.6875</v>
      </c>
      <c r="DB60" s="54">
        <v>6.25</v>
      </c>
      <c r="DC60" s="649">
        <f t="shared" si="17"/>
        <v>4.9851</v>
      </c>
    </row>
    <row r="61" spans="1:107" ht="12.75">
      <c r="A61" s="24" t="s">
        <v>1221</v>
      </c>
      <c r="B61" s="117" t="s">
        <v>1444</v>
      </c>
      <c r="C61" s="315" t="s">
        <v>1042</v>
      </c>
      <c r="D61" s="367">
        <v>65</v>
      </c>
      <c r="E61" s="119" t="s">
        <v>341</v>
      </c>
      <c r="F61" s="15">
        <v>5</v>
      </c>
      <c r="G61" s="18">
        <v>5</v>
      </c>
      <c r="H61" s="17">
        <v>5</v>
      </c>
      <c r="I61" s="16">
        <v>0</v>
      </c>
      <c r="J61" s="186">
        <v>3</v>
      </c>
      <c r="K61" s="188">
        <v>2</v>
      </c>
      <c r="L61" s="868">
        <v>285</v>
      </c>
      <c r="M61" s="885">
        <v>700</v>
      </c>
      <c r="N61" s="106">
        <v>400</v>
      </c>
      <c r="O61" s="809">
        <v>125</v>
      </c>
      <c r="P61" s="743">
        <v>125</v>
      </c>
      <c r="Q61" s="340">
        <v>2109</v>
      </c>
      <c r="R61" s="98">
        <v>460</v>
      </c>
      <c r="S61" s="326">
        <f t="shared" si="0"/>
        <v>1549.918119726562</v>
      </c>
      <c r="T61" s="352">
        <v>11100</v>
      </c>
      <c r="U61" s="359">
        <v>115000</v>
      </c>
      <c r="V61" s="344">
        <v>10000</v>
      </c>
      <c r="W61" s="289">
        <v>0.46</v>
      </c>
      <c r="X61" s="340">
        <v>1618</v>
      </c>
      <c r="Y61" s="43">
        <v>50</v>
      </c>
      <c r="Z61" s="44">
        <v>10</v>
      </c>
      <c r="AA61" s="44">
        <v>83.75</v>
      </c>
      <c r="AB61" s="49">
        <v>67.5</v>
      </c>
      <c r="AC61" s="345">
        <v>1406</v>
      </c>
      <c r="AD61" s="312">
        <v>1250</v>
      </c>
      <c r="AE61" s="292">
        <f t="shared" si="20"/>
        <v>1.1248</v>
      </c>
      <c r="AF61" s="43">
        <v>0</v>
      </c>
      <c r="AG61" s="44">
        <v>50</v>
      </c>
      <c r="AH61" s="44">
        <v>85</v>
      </c>
      <c r="AI61" s="45">
        <v>60</v>
      </c>
      <c r="AJ61" s="5">
        <f t="shared" si="19"/>
        <v>5133</v>
      </c>
      <c r="AK61" s="103" t="str">
        <f t="shared" si="23"/>
        <v>A</v>
      </c>
      <c r="AL61" s="862">
        <v>1125</v>
      </c>
      <c r="AM61" s="458">
        <v>335</v>
      </c>
      <c r="AN61" s="295">
        <f t="shared" si="4"/>
        <v>3.3582089552238807</v>
      </c>
      <c r="AO61" s="145">
        <v>60</v>
      </c>
      <c r="AP61" s="85" t="s">
        <v>462</v>
      </c>
      <c r="AQ61" s="297">
        <v>245</v>
      </c>
      <c r="AR61" s="33">
        <v>0</v>
      </c>
      <c r="AS61" s="34">
        <v>0</v>
      </c>
      <c r="AT61" s="34">
        <v>16</v>
      </c>
      <c r="AU61" s="73">
        <v>0</v>
      </c>
      <c r="AV61" s="39">
        <v>145</v>
      </c>
      <c r="AW61" s="143">
        <v>181</v>
      </c>
      <c r="AX61" s="33">
        <v>0</v>
      </c>
      <c r="AY61" s="34">
        <v>0</v>
      </c>
      <c r="AZ61" s="34">
        <v>8</v>
      </c>
      <c r="BA61" s="84">
        <v>0</v>
      </c>
      <c r="BB61" s="586">
        <v>3.75</v>
      </c>
      <c r="BC61" s="590">
        <v>8.13E-07</v>
      </c>
      <c r="BD61" s="588">
        <f t="shared" si="10"/>
        <v>77.91463049765633</v>
      </c>
      <c r="BE61" s="299"/>
      <c r="BF61" s="300"/>
      <c r="BG61" s="112"/>
      <c r="BH61" s="541"/>
      <c r="BI61" s="301">
        <v>2</v>
      </c>
      <c r="BJ61" s="346" t="s">
        <v>1401</v>
      </c>
      <c r="BK61" s="13" t="s">
        <v>1149</v>
      </c>
      <c r="BL61" s="303" t="s">
        <v>1205</v>
      </c>
      <c r="BM61" s="86" t="s">
        <v>737</v>
      </c>
      <c r="BN61" s="303" t="s">
        <v>1082</v>
      </c>
      <c r="BO61" s="86"/>
      <c r="BP61" s="1" t="s">
        <v>738</v>
      </c>
      <c r="BR61" s="1">
        <v>280</v>
      </c>
      <c r="BS61" s="21">
        <v>12005</v>
      </c>
      <c r="BT61" s="605"/>
      <c r="BU61" s="600">
        <v>3.75</v>
      </c>
      <c r="BV61" s="601">
        <v>7.5</v>
      </c>
      <c r="BW61" s="329">
        <f t="shared" si="21"/>
        <v>460</v>
      </c>
      <c r="BX61" s="329">
        <f>IF($F61&gt;0,$BW61*$D$208,"")</f>
        <v>586.5</v>
      </c>
      <c r="BY61" s="329">
        <f>IF($F61&gt;1,$BX61*$D$209,"")</f>
        <v>747.7874999999999</v>
      </c>
      <c r="BZ61" s="329">
        <f>IF($F61&gt;2,$BY61*$D$210,"")</f>
        <v>953.4290624999999</v>
      </c>
      <c r="CA61" s="329">
        <f>IF($F61&gt;3,$BZ61*$D$211,"")</f>
        <v>1215.6220546874997</v>
      </c>
      <c r="CB61" s="329">
        <f>IF($F61&gt;4,$CA61*$D$212,"")</f>
        <v>1549.918119726562</v>
      </c>
      <c r="CC61" s="329">
        <f>IF($F61&gt;5,$CB61*$D$213,"")</f>
      </c>
      <c r="CD61" s="329">
        <f>IF($F61&gt;6,$CC61*$D$214,"")</f>
      </c>
      <c r="CE61" s="485" t="s">
        <v>1195</v>
      </c>
      <c r="CF61" s="855" t="s">
        <v>920</v>
      </c>
      <c r="CG61" s="440" t="s">
        <v>590</v>
      </c>
      <c r="CH61" s="305">
        <v>18554792</v>
      </c>
      <c r="CI61" s="305">
        <f t="shared" si="6"/>
        <v>5566437.6</v>
      </c>
      <c r="CJ61" s="306">
        <f t="shared" si="7"/>
        <v>12988354.4</v>
      </c>
      <c r="CK61" s="307" t="e">
        <f>CJ61-#REF!</f>
        <v>#REF!</v>
      </c>
      <c r="CL61" s="592">
        <v>17949992</v>
      </c>
      <c r="CM61" s="21">
        <f t="shared" si="11"/>
        <v>0.9674046467349243</v>
      </c>
      <c r="CN61" s="21">
        <f t="shared" si="12"/>
        <v>3.224682155783081</v>
      </c>
      <c r="CO61" s="54"/>
      <c r="CP61" s="625">
        <f t="shared" si="13"/>
        <v>211.25</v>
      </c>
      <c r="CQ61" s="626">
        <f t="shared" si="14"/>
        <v>195</v>
      </c>
      <c r="CR61" s="624" t="str">
        <f t="shared" si="15"/>
        <v>A</v>
      </c>
      <c r="CS61" s="634">
        <f t="shared" si="16"/>
        <v>181</v>
      </c>
      <c r="CT61" s="591">
        <f t="shared" si="8"/>
        <v>11100000</v>
      </c>
      <c r="CU61" s="591">
        <f t="shared" si="9"/>
        <v>226.25</v>
      </c>
      <c r="CV61" s="591">
        <v>15000</v>
      </c>
      <c r="CW61" s="54"/>
      <c r="CX61" s="54"/>
      <c r="CY61" s="54"/>
      <c r="CZ61" s="54"/>
      <c r="DA61" s="54">
        <v>1.6875</v>
      </c>
      <c r="DB61" s="54">
        <v>6.25</v>
      </c>
      <c r="DC61" s="649">
        <f t="shared" si="17"/>
        <v>5.106</v>
      </c>
    </row>
    <row r="62" spans="1:107" ht="12.75">
      <c r="A62" s="24" t="s">
        <v>625</v>
      </c>
      <c r="B62" s="117" t="s">
        <v>1381</v>
      </c>
      <c r="C62" s="319" t="s">
        <v>99</v>
      </c>
      <c r="D62" s="367">
        <v>65</v>
      </c>
      <c r="E62" s="119" t="s">
        <v>341</v>
      </c>
      <c r="F62" s="15">
        <v>5</v>
      </c>
      <c r="G62" s="18">
        <v>3</v>
      </c>
      <c r="H62" s="17">
        <v>7</v>
      </c>
      <c r="I62" s="16">
        <v>3</v>
      </c>
      <c r="J62" s="186">
        <v>5</v>
      </c>
      <c r="K62" s="188">
        <v>2</v>
      </c>
      <c r="L62" s="868">
        <v>355</v>
      </c>
      <c r="M62" s="885">
        <v>1160</v>
      </c>
      <c r="N62" s="106">
        <v>400</v>
      </c>
      <c r="O62" s="454">
        <v>25</v>
      </c>
      <c r="P62" s="531">
        <v>25</v>
      </c>
      <c r="Q62" s="340">
        <v>1406</v>
      </c>
      <c r="R62" s="98">
        <v>415</v>
      </c>
      <c r="S62" s="326">
        <f t="shared" si="0"/>
        <v>1398.2956949707027</v>
      </c>
      <c r="T62" s="342">
        <v>11750</v>
      </c>
      <c r="U62" s="343">
        <v>96000</v>
      </c>
      <c r="V62" s="344">
        <v>10000</v>
      </c>
      <c r="W62" s="289">
        <v>0.445</v>
      </c>
      <c r="X62" s="340">
        <v>2004</v>
      </c>
      <c r="Y62" s="43">
        <v>90</v>
      </c>
      <c r="Z62" s="44">
        <v>10</v>
      </c>
      <c r="AA62" s="44">
        <v>25</v>
      </c>
      <c r="AB62" s="49">
        <v>67.5</v>
      </c>
      <c r="AC62" s="345">
        <v>1582</v>
      </c>
      <c r="AD62" s="312">
        <v>1250</v>
      </c>
      <c r="AE62" s="292">
        <f t="shared" si="20"/>
        <v>1.2656</v>
      </c>
      <c r="AF62" s="43">
        <v>75</v>
      </c>
      <c r="AG62" s="44">
        <v>50</v>
      </c>
      <c r="AH62" s="44">
        <v>40</v>
      </c>
      <c r="AI62" s="45">
        <v>60</v>
      </c>
      <c r="AJ62" s="5">
        <f t="shared" si="19"/>
        <v>4992</v>
      </c>
      <c r="AK62" s="103" t="str">
        <f t="shared" si="23"/>
        <v>A</v>
      </c>
      <c r="AL62" s="862">
        <v>1250</v>
      </c>
      <c r="AM62" s="458">
        <v>335</v>
      </c>
      <c r="AN62" s="295">
        <f t="shared" si="4"/>
        <v>3.7313432835820897</v>
      </c>
      <c r="AO62" s="145">
        <v>55</v>
      </c>
      <c r="AP62" s="85" t="s">
        <v>1267</v>
      </c>
      <c r="AQ62" s="297">
        <v>245</v>
      </c>
      <c r="AR62" s="33">
        <v>0</v>
      </c>
      <c r="AS62" s="34">
        <v>0</v>
      </c>
      <c r="AT62" s="34">
        <v>0</v>
      </c>
      <c r="AU62" s="73">
        <v>13</v>
      </c>
      <c r="AV62" s="39">
        <v>130</v>
      </c>
      <c r="AW62" s="143">
        <v>196</v>
      </c>
      <c r="AX62" s="33">
        <v>0</v>
      </c>
      <c r="AY62" s="34">
        <v>0</v>
      </c>
      <c r="AZ62" s="34">
        <v>0</v>
      </c>
      <c r="BA62" s="84">
        <v>9</v>
      </c>
      <c r="BB62" s="586">
        <v>3.75</v>
      </c>
      <c r="BC62" s="590">
        <v>8.13E-07</v>
      </c>
      <c r="BD62" s="588">
        <f t="shared" si="10"/>
        <v>81.78273272094424</v>
      </c>
      <c r="BE62" s="299"/>
      <c r="BF62" s="300"/>
      <c r="BG62" s="112"/>
      <c r="BH62" s="541"/>
      <c r="BI62" s="301">
        <v>1</v>
      </c>
      <c r="BJ62" s="346" t="s">
        <v>1401</v>
      </c>
      <c r="BK62" s="13" t="s">
        <v>136</v>
      </c>
      <c r="BL62" s="303" t="s">
        <v>1128</v>
      </c>
      <c r="BM62" s="86" t="s">
        <v>151</v>
      </c>
      <c r="BN62" s="303" t="s">
        <v>1228</v>
      </c>
      <c r="BO62" s="86"/>
      <c r="BP62" s="1" t="s">
        <v>152</v>
      </c>
      <c r="BR62" s="1">
        <v>218</v>
      </c>
      <c r="BS62" s="21">
        <v>12015</v>
      </c>
      <c r="BT62" s="605"/>
      <c r="BU62" s="600">
        <v>7.5</v>
      </c>
      <c r="BV62" s="601">
        <v>1</v>
      </c>
      <c r="BW62" s="329">
        <f t="shared" si="21"/>
        <v>415</v>
      </c>
      <c r="BX62" s="329">
        <f>IF($F62&gt;0,$BW62*$D$208,"")</f>
        <v>529.125</v>
      </c>
      <c r="BY62" s="329">
        <f>IF($F62&gt;1,$BX62*$D$209,"")</f>
        <v>674.634375</v>
      </c>
      <c r="BZ62" s="329">
        <f>IF($F62&gt;2,$BY62*$D$210,"")</f>
        <v>860.1588281249999</v>
      </c>
      <c r="CA62" s="329">
        <f>IF($F62&gt;3,$BZ62*$D$211,"")</f>
        <v>1096.7025058593747</v>
      </c>
      <c r="CB62" s="329">
        <f>IF($F62&gt;4,$CA62*$D$212,"")</f>
        <v>1398.2956949707027</v>
      </c>
      <c r="CC62" s="329">
        <f>IF($F62&gt;5,$CB62*$D$213,"")</f>
      </c>
      <c r="CD62" s="329">
        <f>IF($F62&gt;6,$CC62*$D$214,"")</f>
      </c>
      <c r="CE62" s="485" t="s">
        <v>1495</v>
      </c>
      <c r="CF62" s="855" t="s">
        <v>920</v>
      </c>
      <c r="CG62" s="440" t="s">
        <v>591</v>
      </c>
      <c r="CH62" s="305">
        <v>17352368</v>
      </c>
      <c r="CI62" s="305">
        <f t="shared" si="6"/>
        <v>5205710.399999999</v>
      </c>
      <c r="CJ62" s="306">
        <f t="shared" si="7"/>
        <v>12146657.600000001</v>
      </c>
      <c r="CK62" s="307" t="e">
        <f>CJ62-#REF!</f>
        <v>#REF!</v>
      </c>
      <c r="CL62" s="592">
        <v>17062768</v>
      </c>
      <c r="CM62" s="21">
        <f t="shared" si="11"/>
        <v>0.983310635182472</v>
      </c>
      <c r="CN62" s="21">
        <f t="shared" si="12"/>
        <v>3.277702117274907</v>
      </c>
      <c r="CO62" s="54"/>
      <c r="CP62" s="628">
        <f t="shared" si="13"/>
        <v>192.5</v>
      </c>
      <c r="CQ62" s="622">
        <f t="shared" si="14"/>
        <v>225</v>
      </c>
      <c r="CR62" s="624" t="str">
        <f t="shared" si="15"/>
        <v>A</v>
      </c>
      <c r="CS62" s="634">
        <f t="shared" si="16"/>
        <v>196</v>
      </c>
      <c r="CT62" s="591">
        <f t="shared" si="8"/>
        <v>11750000</v>
      </c>
      <c r="CU62" s="591">
        <f t="shared" si="9"/>
        <v>245</v>
      </c>
      <c r="CV62" s="591">
        <v>15000</v>
      </c>
      <c r="CW62" s="54"/>
      <c r="CX62" s="54"/>
      <c r="CY62" s="54"/>
      <c r="CZ62" s="54"/>
      <c r="DA62" s="54">
        <v>1.6875</v>
      </c>
      <c r="DB62" s="54">
        <v>6.25</v>
      </c>
      <c r="DC62" s="649">
        <f t="shared" si="17"/>
        <v>5.22875</v>
      </c>
    </row>
    <row r="63" spans="1:107" ht="12.75">
      <c r="A63" s="24" t="s">
        <v>154</v>
      </c>
      <c r="B63" s="117" t="s">
        <v>1289</v>
      </c>
      <c r="C63" s="319" t="s">
        <v>99</v>
      </c>
      <c r="D63" s="367">
        <v>65</v>
      </c>
      <c r="E63" s="119" t="s">
        <v>341</v>
      </c>
      <c r="F63" s="15">
        <v>5</v>
      </c>
      <c r="G63" s="18">
        <v>4</v>
      </c>
      <c r="H63" s="17">
        <v>6</v>
      </c>
      <c r="I63" s="16">
        <v>2</v>
      </c>
      <c r="J63" s="186">
        <v>5</v>
      </c>
      <c r="K63" s="188">
        <v>2</v>
      </c>
      <c r="L63" s="868">
        <v>395</v>
      </c>
      <c r="M63" s="885">
        <v>855</v>
      </c>
      <c r="N63" s="106">
        <v>400</v>
      </c>
      <c r="O63" s="454">
        <v>25</v>
      </c>
      <c r="P63" s="531">
        <v>25</v>
      </c>
      <c r="Q63" s="340">
        <v>984</v>
      </c>
      <c r="R63" s="98">
        <v>360</v>
      </c>
      <c r="S63" s="326">
        <f t="shared" si="0"/>
        <v>1212.9793980468744</v>
      </c>
      <c r="T63" s="342">
        <v>11590</v>
      </c>
      <c r="U63" s="343">
        <v>80000</v>
      </c>
      <c r="V63" s="344">
        <v>10000</v>
      </c>
      <c r="W63" s="289">
        <v>0.39</v>
      </c>
      <c r="X63" s="340">
        <v>1337</v>
      </c>
      <c r="Y63" s="43">
        <v>90</v>
      </c>
      <c r="Z63" s="44">
        <v>10</v>
      </c>
      <c r="AA63" s="44">
        <v>25</v>
      </c>
      <c r="AB63" s="49">
        <v>67.5</v>
      </c>
      <c r="AC63" s="345">
        <v>1653</v>
      </c>
      <c r="AD63" s="312">
        <v>1250</v>
      </c>
      <c r="AE63" s="292">
        <f t="shared" si="20"/>
        <v>1.3224</v>
      </c>
      <c r="AF63" s="43">
        <v>75</v>
      </c>
      <c r="AG63" s="44">
        <v>50</v>
      </c>
      <c r="AH63" s="44">
        <v>40</v>
      </c>
      <c r="AI63" s="45">
        <v>60</v>
      </c>
      <c r="AJ63" s="5">
        <f t="shared" si="19"/>
        <v>3974</v>
      </c>
      <c r="AK63" s="103" t="str">
        <f t="shared" si="23"/>
        <v>S</v>
      </c>
      <c r="AL63" s="862">
        <v>1062</v>
      </c>
      <c r="AM63" s="458">
        <v>335</v>
      </c>
      <c r="AN63" s="295">
        <f t="shared" si="4"/>
        <v>3.1701492537313434</v>
      </c>
      <c r="AO63" s="145">
        <v>50</v>
      </c>
      <c r="AP63" s="85" t="s">
        <v>1267</v>
      </c>
      <c r="AQ63" s="297">
        <v>275</v>
      </c>
      <c r="AR63" s="33">
        <v>0</v>
      </c>
      <c r="AS63" s="34">
        <v>0</v>
      </c>
      <c r="AT63" s="34">
        <v>0</v>
      </c>
      <c r="AU63" s="73">
        <v>14</v>
      </c>
      <c r="AV63" s="39">
        <v>115</v>
      </c>
      <c r="AW63" s="923">
        <v>239</v>
      </c>
      <c r="AX63" s="33">
        <v>0</v>
      </c>
      <c r="AY63" s="34">
        <v>0</v>
      </c>
      <c r="AZ63" s="34">
        <v>0</v>
      </c>
      <c r="BA63" s="84">
        <v>11</v>
      </c>
      <c r="BB63" s="586">
        <v>3.75</v>
      </c>
      <c r="BC63" s="590">
        <v>8.13E-07</v>
      </c>
      <c r="BD63" s="588">
        <f t="shared" si="10"/>
        <v>70.44181744664729</v>
      </c>
      <c r="BE63" s="299"/>
      <c r="BF63" s="300"/>
      <c r="BG63" s="112"/>
      <c r="BH63" s="541"/>
      <c r="BI63" s="301">
        <v>2</v>
      </c>
      <c r="BJ63" s="346" t="s">
        <v>1401</v>
      </c>
      <c r="BK63" s="13" t="s">
        <v>136</v>
      </c>
      <c r="BL63" s="303" t="s">
        <v>725</v>
      </c>
      <c r="BM63" s="86" t="s">
        <v>157</v>
      </c>
      <c r="BN63" s="303" t="s">
        <v>1230</v>
      </c>
      <c r="BO63" s="86"/>
      <c r="BP63" s="1" t="s">
        <v>154</v>
      </c>
      <c r="BR63" s="1">
        <v>246</v>
      </c>
      <c r="BS63" s="21">
        <v>11999</v>
      </c>
      <c r="BT63" s="605"/>
      <c r="BU63" s="600">
        <v>7.5</v>
      </c>
      <c r="BV63" s="601">
        <v>1</v>
      </c>
      <c r="BW63" s="329">
        <f t="shared" si="21"/>
        <v>360</v>
      </c>
      <c r="BX63" s="329">
        <f>IF($F63&gt;0,$BW63*$D$208,"")</f>
        <v>458.99999999999994</v>
      </c>
      <c r="BY63" s="329">
        <f>IF($F63&gt;1,$BX63*$D$209,"")</f>
        <v>585.2249999999999</v>
      </c>
      <c r="BZ63" s="329">
        <f>IF($F63&gt;2,$BY63*$D$210,"")</f>
        <v>746.1618749999998</v>
      </c>
      <c r="CA63" s="329">
        <f>IF($F63&gt;3,$BZ63*$D$211,"")</f>
        <v>951.3563906249997</v>
      </c>
      <c r="CB63" s="329">
        <f>IF($F63&gt;4,$CA63*$D$212,"")</f>
        <v>1212.9793980468744</v>
      </c>
      <c r="CC63" s="329">
        <f>IF($F63&gt;5,$CB63*$D$213,"")</f>
      </c>
      <c r="CD63" s="329">
        <f>IF($F63&gt;6,$CC63*$D$214,"")</f>
      </c>
      <c r="CE63" s="485" t="s">
        <v>1552</v>
      </c>
      <c r="CF63" s="855" t="s">
        <v>920</v>
      </c>
      <c r="CG63" s="440" t="s">
        <v>36</v>
      </c>
      <c r="CH63" s="305">
        <v>18253648</v>
      </c>
      <c r="CI63" s="305">
        <f t="shared" si="6"/>
        <v>5476094.399999999</v>
      </c>
      <c r="CJ63" s="306">
        <f t="shared" si="7"/>
        <v>12777553.600000001</v>
      </c>
      <c r="CK63" s="307" t="e">
        <f>CJ63-#REF!</f>
        <v>#REF!</v>
      </c>
      <c r="CL63" s="592">
        <v>17944848</v>
      </c>
      <c r="CM63" s="21">
        <f t="shared" si="11"/>
        <v>0.9830828336341316</v>
      </c>
      <c r="CN63" s="21">
        <f t="shared" si="12"/>
        <v>3.2769427787804393</v>
      </c>
      <c r="CO63" s="54"/>
      <c r="CP63" s="626">
        <f t="shared" si="13"/>
        <v>192.5</v>
      </c>
      <c r="CQ63" s="627">
        <f t="shared" si="14"/>
        <v>225</v>
      </c>
      <c r="CR63" s="624" t="str">
        <f t="shared" si="15"/>
        <v>S</v>
      </c>
      <c r="CS63" s="634">
        <f t="shared" si="16"/>
        <v>239</v>
      </c>
      <c r="CT63" s="591">
        <f t="shared" si="8"/>
        <v>11590000</v>
      </c>
      <c r="CU63" s="591">
        <f>CS63*1.25*1.25</f>
        <v>373.4375</v>
      </c>
      <c r="CV63" s="591">
        <v>15000</v>
      </c>
      <c r="CW63" s="54"/>
      <c r="CX63" s="54"/>
      <c r="CY63" s="54"/>
      <c r="CZ63" s="54"/>
      <c r="DA63" s="54">
        <v>1.6875</v>
      </c>
      <c r="DB63" s="54">
        <v>6.25</v>
      </c>
      <c r="DC63" s="649">
        <f t="shared" si="17"/>
        <v>4.5201</v>
      </c>
    </row>
    <row r="64" spans="1:107" ht="12.75">
      <c r="A64" s="24" t="s">
        <v>332</v>
      </c>
      <c r="B64" s="117" t="s">
        <v>340</v>
      </c>
      <c r="C64" s="308" t="s">
        <v>827</v>
      </c>
      <c r="D64" s="367">
        <v>63</v>
      </c>
      <c r="E64" s="119" t="s">
        <v>1793</v>
      </c>
      <c r="F64" s="15">
        <v>7</v>
      </c>
      <c r="G64" s="18">
        <v>3</v>
      </c>
      <c r="H64" s="17">
        <v>6</v>
      </c>
      <c r="I64" s="16">
        <v>0</v>
      </c>
      <c r="J64" s="738">
        <v>4</v>
      </c>
      <c r="K64" s="188">
        <v>2</v>
      </c>
      <c r="L64" s="868">
        <v>368</v>
      </c>
      <c r="M64" s="884">
        <v>1265</v>
      </c>
      <c r="N64" s="106">
        <v>400</v>
      </c>
      <c r="O64" s="455">
        <v>0</v>
      </c>
      <c r="P64" s="531">
        <v>0</v>
      </c>
      <c r="Q64" s="340">
        <v>1688</v>
      </c>
      <c r="R64" s="98">
        <v>280</v>
      </c>
      <c r="S64" s="326">
        <f>MAX($BW64:$CD64)</f>
        <v>1533.6608264055167</v>
      </c>
      <c r="T64" s="342">
        <v>15200</v>
      </c>
      <c r="U64" s="343">
        <v>118000</v>
      </c>
      <c r="V64" s="344">
        <v>10000</v>
      </c>
      <c r="W64" s="289">
        <v>0.46</v>
      </c>
      <c r="X64" s="340">
        <v>2088</v>
      </c>
      <c r="Y64" s="729">
        <v>50</v>
      </c>
      <c r="Z64" s="730">
        <v>80</v>
      </c>
      <c r="AA64" s="730">
        <v>62.5</v>
      </c>
      <c r="AB64" s="731">
        <v>35</v>
      </c>
      <c r="AC64" s="345">
        <v>1393</v>
      </c>
      <c r="AD64" s="312">
        <v>1250</v>
      </c>
      <c r="AE64" s="292">
        <f t="shared" si="20"/>
        <v>1.1144</v>
      </c>
      <c r="AF64" s="43">
        <v>0</v>
      </c>
      <c r="AG64" s="44">
        <v>87.5</v>
      </c>
      <c r="AH64" s="44">
        <v>70</v>
      </c>
      <c r="AI64" s="45">
        <v>20</v>
      </c>
      <c r="AJ64" s="5">
        <f t="shared" si="19"/>
        <v>5169</v>
      </c>
      <c r="AK64" s="103" t="str">
        <f t="shared" si="23"/>
        <v>A</v>
      </c>
      <c r="AL64" s="862">
        <v>1625</v>
      </c>
      <c r="AM64" s="458">
        <v>335</v>
      </c>
      <c r="AN64" s="295">
        <f>AL64/AM64</f>
        <v>4.850746268656716</v>
      </c>
      <c r="AO64" s="145">
        <v>50</v>
      </c>
      <c r="AP64" s="85" t="s">
        <v>462</v>
      </c>
      <c r="AQ64" s="297">
        <v>260</v>
      </c>
      <c r="AR64" s="33">
        <v>15</v>
      </c>
      <c r="AS64" s="34">
        <v>0</v>
      </c>
      <c r="AT64" s="34">
        <v>0</v>
      </c>
      <c r="AU64" s="73">
        <v>0</v>
      </c>
      <c r="AV64" s="39">
        <v>140</v>
      </c>
      <c r="AW64" s="143">
        <v>203</v>
      </c>
      <c r="AX64" s="33"/>
      <c r="AY64" s="34">
        <v>0</v>
      </c>
      <c r="AZ64" s="34">
        <v>0</v>
      </c>
      <c r="BA64" s="84">
        <v>0</v>
      </c>
      <c r="BB64" s="586">
        <v>3.75</v>
      </c>
      <c r="BC64" s="590"/>
      <c r="BD64" s="588" t="e">
        <f t="shared" si="10"/>
        <v>#DIV/0!</v>
      </c>
      <c r="BE64" s="299"/>
      <c r="BF64" s="300"/>
      <c r="BG64" s="112"/>
      <c r="BH64" s="541"/>
      <c r="BI64" s="301"/>
      <c r="BJ64" s="346" t="s">
        <v>1401</v>
      </c>
      <c r="BK64" s="36" t="s">
        <v>1317</v>
      </c>
      <c r="BL64" s="303" t="s">
        <v>599</v>
      </c>
      <c r="BM64" s="86" t="s">
        <v>34</v>
      </c>
      <c r="BN64" s="303" t="s">
        <v>1175</v>
      </c>
      <c r="BO64" s="86"/>
      <c r="BP64" s="1" t="s">
        <v>1116</v>
      </c>
      <c r="BR64" s="1">
        <v>262</v>
      </c>
      <c r="BS64" s="21">
        <v>12017</v>
      </c>
      <c r="BT64" s="605"/>
      <c r="BU64" s="600">
        <v>5</v>
      </c>
      <c r="BV64" s="601">
        <v>0</v>
      </c>
      <c r="BW64" s="329">
        <f t="shared" si="21"/>
        <v>280</v>
      </c>
      <c r="BX64" s="329">
        <f>IF($F64&gt;0,$BW64*$D$208,"")</f>
        <v>357</v>
      </c>
      <c r="BY64" s="329">
        <f>IF($F64&gt;1,$BX64*$D$209,"")</f>
        <v>455.17499999999995</v>
      </c>
      <c r="BZ64" s="329">
        <f>IF($F64&gt;2,$BY64*$D$210,"")</f>
        <v>580.3481249999999</v>
      </c>
      <c r="CA64" s="329">
        <f>IF($F64&gt;3,$BZ64*$D$211,"")</f>
        <v>739.9438593749998</v>
      </c>
      <c r="CB64" s="329">
        <f>IF($F64&gt;4,$CA64*$D$212,"")</f>
        <v>943.4284207031246</v>
      </c>
      <c r="CC64" s="329">
        <f>IF($F64&gt;5,$CB64*$D$213,"")</f>
        <v>1202.8712363964837</v>
      </c>
      <c r="CD64" s="329">
        <f>IF($F64&gt;6,$CC64*$D$214,"")</f>
        <v>1533.6608264055167</v>
      </c>
      <c r="CE64" s="485" t="s">
        <v>1159</v>
      </c>
      <c r="CF64" s="851" t="s">
        <v>182</v>
      </c>
      <c r="CG64" s="440"/>
      <c r="CH64" s="305"/>
      <c r="CI64" s="305">
        <f t="shared" si="6"/>
        <v>0</v>
      </c>
      <c r="CJ64" s="306">
        <f t="shared" si="7"/>
        <v>0</v>
      </c>
      <c r="CK64" s="307" t="e">
        <f>CJ64-#REF!</f>
        <v>#REF!</v>
      </c>
      <c r="CL64" s="54"/>
      <c r="CM64" s="21" t="e">
        <f t="shared" si="11"/>
        <v>#DIV/0!</v>
      </c>
      <c r="CN64" s="21" t="e">
        <f t="shared" si="12"/>
        <v>#DIV/0!</v>
      </c>
      <c r="CO64" s="54"/>
      <c r="CP64" s="625">
        <f t="shared" si="13"/>
        <v>227.5</v>
      </c>
      <c r="CQ64" s="626">
        <f t="shared" si="14"/>
        <v>177.5</v>
      </c>
      <c r="CR64" s="624" t="str">
        <f t="shared" si="15"/>
        <v>A</v>
      </c>
      <c r="CS64" s="634">
        <f t="shared" si="16"/>
        <v>203</v>
      </c>
      <c r="CT64" s="591">
        <f t="shared" si="8"/>
        <v>15200000</v>
      </c>
      <c r="CU64" s="591">
        <f t="shared" si="9"/>
        <v>253.75</v>
      </c>
      <c r="CV64" s="591">
        <v>15000</v>
      </c>
      <c r="CW64" s="54"/>
      <c r="CX64" s="54"/>
      <c r="CY64" s="54"/>
      <c r="CZ64" s="54"/>
      <c r="DA64" s="54">
        <v>1.6875</v>
      </c>
      <c r="DB64" s="54">
        <v>6.25</v>
      </c>
      <c r="DC64" s="649">
        <f t="shared" si="17"/>
        <v>6.992</v>
      </c>
    </row>
    <row r="65" spans="1:107" ht="12.75">
      <c r="A65" s="24" t="s">
        <v>119</v>
      </c>
      <c r="B65" s="117" t="s">
        <v>1084</v>
      </c>
      <c r="C65" s="636" t="s">
        <v>865</v>
      </c>
      <c r="D65" s="367">
        <v>63</v>
      </c>
      <c r="E65" s="119" t="s">
        <v>1793</v>
      </c>
      <c r="F65" s="15">
        <v>4</v>
      </c>
      <c r="G65" s="18">
        <v>6</v>
      </c>
      <c r="H65" s="17">
        <v>6</v>
      </c>
      <c r="I65" s="740">
        <v>5</v>
      </c>
      <c r="J65" s="187">
        <v>0</v>
      </c>
      <c r="K65" s="188">
        <v>2</v>
      </c>
      <c r="L65" s="868">
        <v>560</v>
      </c>
      <c r="M65" s="884">
        <v>835</v>
      </c>
      <c r="N65" s="106">
        <v>400</v>
      </c>
      <c r="O65" s="455">
        <v>0</v>
      </c>
      <c r="P65" s="531">
        <v>0</v>
      </c>
      <c r="Q65" s="340">
        <v>1406</v>
      </c>
      <c r="R65" s="98">
        <v>450</v>
      </c>
      <c r="S65" s="326">
        <f>MAX($BW65:$CD65)</f>
        <v>1189.19548828125</v>
      </c>
      <c r="T65" s="342">
        <v>15420</v>
      </c>
      <c r="U65" s="343">
        <v>92000</v>
      </c>
      <c r="V65" s="344">
        <v>10000</v>
      </c>
      <c r="W65" s="289">
        <v>0.425</v>
      </c>
      <c r="X65" s="340">
        <v>1196</v>
      </c>
      <c r="Y65" s="43">
        <v>50</v>
      </c>
      <c r="Z65" s="44">
        <v>10</v>
      </c>
      <c r="AA65" s="44">
        <v>62.5</v>
      </c>
      <c r="AB65" s="49">
        <v>86.25</v>
      </c>
      <c r="AC65" s="345">
        <v>2004</v>
      </c>
      <c r="AD65" s="312">
        <v>1250</v>
      </c>
      <c r="AE65" s="292">
        <f t="shared" si="20"/>
        <v>1.6032</v>
      </c>
      <c r="AF65" s="729">
        <v>0</v>
      </c>
      <c r="AG65" s="730">
        <v>50</v>
      </c>
      <c r="AH65" s="730">
        <v>70</v>
      </c>
      <c r="AI65" s="745">
        <v>80</v>
      </c>
      <c r="AJ65" s="5">
        <f t="shared" si="19"/>
        <v>4606</v>
      </c>
      <c r="AK65" s="103" t="str">
        <f t="shared" si="23"/>
        <v>S</v>
      </c>
      <c r="AL65" s="862">
        <v>1062</v>
      </c>
      <c r="AM65" s="458">
        <v>335</v>
      </c>
      <c r="AN65" s="295">
        <f>AL65/AM65</f>
        <v>3.1701492537313434</v>
      </c>
      <c r="AO65" s="145">
        <v>80</v>
      </c>
      <c r="AP65" s="85" t="s">
        <v>465</v>
      </c>
      <c r="AQ65" s="297">
        <v>235</v>
      </c>
      <c r="AR65" s="33">
        <v>0</v>
      </c>
      <c r="AS65" s="34">
        <v>16</v>
      </c>
      <c r="AT65" s="34">
        <v>0</v>
      </c>
      <c r="AU65" s="73">
        <v>0</v>
      </c>
      <c r="AV65" s="39">
        <v>135</v>
      </c>
      <c r="AW65" s="143">
        <v>198</v>
      </c>
      <c r="AX65" s="33">
        <v>0</v>
      </c>
      <c r="AY65" s="34"/>
      <c r="AZ65" s="34">
        <v>0</v>
      </c>
      <c r="BA65" s="84">
        <v>0</v>
      </c>
      <c r="BB65" s="586">
        <v>3.75</v>
      </c>
      <c r="BC65" s="590"/>
      <c r="BD65" s="588" t="e">
        <f t="shared" si="10"/>
        <v>#DIV/0!</v>
      </c>
      <c r="BE65" s="299"/>
      <c r="BF65" s="300"/>
      <c r="BG65" s="112"/>
      <c r="BH65" s="541"/>
      <c r="BI65" s="301"/>
      <c r="BJ65" s="346" t="s">
        <v>1401</v>
      </c>
      <c r="BK65" s="36" t="s">
        <v>1748</v>
      </c>
      <c r="BL65" s="303" t="s">
        <v>545</v>
      </c>
      <c r="BM65" s="86" t="s">
        <v>947</v>
      </c>
      <c r="BN65" s="303" t="s">
        <v>1232</v>
      </c>
      <c r="BO65" s="86"/>
      <c r="BP65" s="1" t="s">
        <v>119</v>
      </c>
      <c r="BR65" s="1">
        <v>262</v>
      </c>
      <c r="BS65" s="21">
        <v>11995</v>
      </c>
      <c r="BT65" s="605"/>
      <c r="BU65" s="600">
        <v>6.25</v>
      </c>
      <c r="BV65" s="601">
        <v>0</v>
      </c>
      <c r="BW65" s="329">
        <f t="shared" si="21"/>
        <v>450</v>
      </c>
      <c r="BX65" s="329">
        <f>IF($F65&gt;0,$BW65*$D$208,"")</f>
        <v>573.75</v>
      </c>
      <c r="BY65" s="329">
        <f>IF($F65&gt;1,$BX65*$D$209,"")</f>
        <v>731.53125</v>
      </c>
      <c r="BZ65" s="329">
        <f>IF($F65&gt;2,$BY65*$D$210,"")</f>
        <v>932.70234375</v>
      </c>
      <c r="CA65" s="329">
        <f>IF($F65&gt;3,$BZ65*$D$211,"")</f>
        <v>1189.19548828125</v>
      </c>
      <c r="CB65" s="329">
        <f>IF($F65&gt;4,$CA65*$D$212,"")</f>
      </c>
      <c r="CC65" s="329">
        <f>IF($F65&gt;5,$CB65*$D$213,"")</f>
      </c>
      <c r="CD65" s="329">
        <f>IF($F65&gt;6,$CC65*$D$214,"")</f>
      </c>
      <c r="CE65" s="485" t="s">
        <v>787</v>
      </c>
      <c r="CF65" s="851" t="s">
        <v>182</v>
      </c>
      <c r="CG65" s="440"/>
      <c r="CH65" s="305"/>
      <c r="CI65" s="305">
        <f t="shared" si="6"/>
        <v>0</v>
      </c>
      <c r="CJ65" s="306">
        <f t="shared" si="7"/>
        <v>0</v>
      </c>
      <c r="CK65" s="307" t="e">
        <f>CJ65-#REF!</f>
        <v>#REF!</v>
      </c>
      <c r="CL65" s="54"/>
      <c r="CM65" s="21" t="e">
        <f t="shared" si="11"/>
        <v>#DIV/0!</v>
      </c>
      <c r="CN65" s="21" t="e">
        <f t="shared" si="12"/>
        <v>#DIV/0!</v>
      </c>
      <c r="CO65" s="54"/>
      <c r="CP65" s="622">
        <f t="shared" si="13"/>
        <v>208.75</v>
      </c>
      <c r="CQ65" s="623">
        <f t="shared" si="14"/>
        <v>200</v>
      </c>
      <c r="CR65" s="624" t="str">
        <f t="shared" si="15"/>
        <v>S</v>
      </c>
      <c r="CS65" s="634">
        <f t="shared" si="16"/>
        <v>198</v>
      </c>
      <c r="CT65" s="591">
        <f t="shared" si="8"/>
        <v>15420000</v>
      </c>
      <c r="CU65" s="591">
        <f t="shared" si="9"/>
        <v>247.5</v>
      </c>
      <c r="CV65" s="591">
        <v>15000</v>
      </c>
      <c r="CW65" s="54"/>
      <c r="CX65" s="54"/>
      <c r="CY65" s="54"/>
      <c r="CZ65" s="54"/>
      <c r="DA65" s="54">
        <v>1.6875</v>
      </c>
      <c r="DB65" s="54">
        <v>6.25</v>
      </c>
      <c r="DC65" s="649">
        <f t="shared" si="17"/>
        <v>6.5535</v>
      </c>
    </row>
    <row r="66" spans="1:107" ht="12.75">
      <c r="A66" s="24" t="s">
        <v>333</v>
      </c>
      <c r="B66" s="117" t="s">
        <v>141</v>
      </c>
      <c r="C66" s="315" t="s">
        <v>1042</v>
      </c>
      <c r="D66" s="367">
        <v>63</v>
      </c>
      <c r="E66" s="119" t="s">
        <v>1793</v>
      </c>
      <c r="F66" s="15">
        <v>6</v>
      </c>
      <c r="G66" s="18">
        <v>4</v>
      </c>
      <c r="H66" s="17">
        <v>6</v>
      </c>
      <c r="I66" s="16">
        <v>0</v>
      </c>
      <c r="J66" s="737">
        <v>5</v>
      </c>
      <c r="K66" s="188">
        <v>2</v>
      </c>
      <c r="L66" s="868">
        <v>375</v>
      </c>
      <c r="M66" s="884">
        <v>1165</v>
      </c>
      <c r="N66" s="106">
        <v>400</v>
      </c>
      <c r="O66" s="455">
        <v>0</v>
      </c>
      <c r="P66" s="531">
        <v>0</v>
      </c>
      <c r="Q66" s="340">
        <v>2531</v>
      </c>
      <c r="R66" s="98">
        <v>315</v>
      </c>
      <c r="S66" s="326">
        <f>MAX($BW66:$CD66)</f>
        <v>1353.2301409460447</v>
      </c>
      <c r="T66" s="342">
        <v>15080</v>
      </c>
      <c r="U66" s="343">
        <v>112000</v>
      </c>
      <c r="V66" s="344">
        <v>10000</v>
      </c>
      <c r="W66" s="289">
        <v>0.45</v>
      </c>
      <c r="X66" s="340">
        <v>2040</v>
      </c>
      <c r="Y66" s="729">
        <v>50</v>
      </c>
      <c r="Z66" s="730">
        <v>10</v>
      </c>
      <c r="AA66" s="730">
        <v>83.75</v>
      </c>
      <c r="AB66" s="731">
        <v>67.5</v>
      </c>
      <c r="AC66" s="345">
        <v>1160</v>
      </c>
      <c r="AD66" s="312">
        <v>1250</v>
      </c>
      <c r="AE66" s="292">
        <f t="shared" si="20"/>
        <v>0.928</v>
      </c>
      <c r="AF66" s="43">
        <v>0</v>
      </c>
      <c r="AG66" s="44">
        <v>50</v>
      </c>
      <c r="AH66" s="44">
        <v>85</v>
      </c>
      <c r="AI66" s="45">
        <v>60</v>
      </c>
      <c r="AJ66" s="5">
        <f t="shared" si="19"/>
        <v>5731</v>
      </c>
      <c r="AK66" s="103" t="str">
        <f t="shared" si="23"/>
        <v>A</v>
      </c>
      <c r="AL66" s="862">
        <v>1375</v>
      </c>
      <c r="AM66" s="458">
        <v>335</v>
      </c>
      <c r="AN66" s="295">
        <f>AL66/AM66</f>
        <v>4.104477611940299</v>
      </c>
      <c r="AO66" s="145">
        <v>65</v>
      </c>
      <c r="AP66" s="85" t="s">
        <v>465</v>
      </c>
      <c r="AQ66" s="297">
        <v>225</v>
      </c>
      <c r="AR66" s="33">
        <v>0</v>
      </c>
      <c r="AS66" s="34">
        <v>0</v>
      </c>
      <c r="AT66" s="34">
        <v>15</v>
      </c>
      <c r="AU66" s="73">
        <v>0</v>
      </c>
      <c r="AV66" s="39">
        <v>160</v>
      </c>
      <c r="AW66" s="143">
        <v>209</v>
      </c>
      <c r="AX66" s="33">
        <v>0</v>
      </c>
      <c r="AY66" s="34">
        <v>0</v>
      </c>
      <c r="AZ66" s="34"/>
      <c r="BA66" s="84">
        <v>0</v>
      </c>
      <c r="BB66" s="586">
        <v>3.75</v>
      </c>
      <c r="BC66" s="590"/>
      <c r="BD66" s="588" t="e">
        <f t="shared" si="10"/>
        <v>#DIV/0!</v>
      </c>
      <c r="BE66" s="299"/>
      <c r="BF66" s="300"/>
      <c r="BG66" s="112"/>
      <c r="BH66" s="541"/>
      <c r="BI66" s="301"/>
      <c r="BJ66" s="346" t="s">
        <v>1401</v>
      </c>
      <c r="BK66" s="36" t="s">
        <v>1317</v>
      </c>
      <c r="BL66" s="303" t="s">
        <v>1432</v>
      </c>
      <c r="BM66" s="86" t="s">
        <v>648</v>
      </c>
      <c r="BN66" s="303" t="s">
        <v>1231</v>
      </c>
      <c r="BO66" s="86"/>
      <c r="BP66" s="1" t="s">
        <v>1117</v>
      </c>
      <c r="BR66" s="1">
        <v>334</v>
      </c>
      <c r="BS66" s="21">
        <v>12021</v>
      </c>
      <c r="BT66" s="605"/>
      <c r="BU66" s="600">
        <v>6.25</v>
      </c>
      <c r="BV66" s="601">
        <v>0</v>
      </c>
      <c r="BW66" s="329">
        <f t="shared" si="21"/>
        <v>315</v>
      </c>
      <c r="BX66" s="329">
        <f>IF($F66&gt;0,$BW66*$D$208,"")</f>
        <v>401.625</v>
      </c>
      <c r="BY66" s="329">
        <f>IF($F66&gt;1,$BX66*$D$209,"")</f>
        <v>512.071875</v>
      </c>
      <c r="BZ66" s="329">
        <f>IF($F66&gt;2,$BY66*$D$210,"")</f>
        <v>652.8916406249999</v>
      </c>
      <c r="CA66" s="329">
        <f>IF($F66&gt;3,$BZ66*$D$211,"")</f>
        <v>832.4368417968749</v>
      </c>
      <c r="CB66" s="329">
        <f>IF($F66&gt;4,$CA66*$D$212,"")</f>
        <v>1061.3569732910155</v>
      </c>
      <c r="CC66" s="329">
        <f>IF($F66&gt;5,$CB66*$D$213,"")</f>
        <v>1353.2301409460447</v>
      </c>
      <c r="CD66" s="329">
        <f>IF($F66&gt;6,$CC66*$D$214,"")</f>
      </c>
      <c r="CE66" s="485" t="s">
        <v>898</v>
      </c>
      <c r="CF66" s="851" t="s">
        <v>182</v>
      </c>
      <c r="CG66" s="440"/>
      <c r="CH66" s="305"/>
      <c r="CI66" s="305">
        <f t="shared" si="6"/>
        <v>0</v>
      </c>
      <c r="CJ66" s="306">
        <f t="shared" si="7"/>
        <v>0</v>
      </c>
      <c r="CK66" s="307" t="e">
        <f>CJ66-#REF!</f>
        <v>#REF!</v>
      </c>
      <c r="CL66" s="54"/>
      <c r="CM66" s="21" t="e">
        <f t="shared" si="11"/>
        <v>#DIV/0!</v>
      </c>
      <c r="CN66" s="21" t="e">
        <f t="shared" si="12"/>
        <v>#DIV/0!</v>
      </c>
      <c r="CO66" s="54"/>
      <c r="CP66" s="625">
        <f t="shared" si="13"/>
        <v>211.25</v>
      </c>
      <c r="CQ66" s="626">
        <f t="shared" si="14"/>
        <v>195</v>
      </c>
      <c r="CR66" s="624" t="str">
        <f t="shared" si="15"/>
        <v>A</v>
      </c>
      <c r="CS66" s="634">
        <f t="shared" si="16"/>
        <v>209</v>
      </c>
      <c r="CT66" s="591">
        <f t="shared" si="8"/>
        <v>15080000</v>
      </c>
      <c r="CU66" s="591">
        <f t="shared" si="9"/>
        <v>261.25</v>
      </c>
      <c r="CV66" s="591">
        <v>15000</v>
      </c>
      <c r="CW66" s="54"/>
      <c r="CX66" s="54"/>
      <c r="CY66" s="54"/>
      <c r="CZ66" s="54"/>
      <c r="DA66" s="54">
        <v>1.6875</v>
      </c>
      <c r="DB66" s="54">
        <v>6.25</v>
      </c>
      <c r="DC66" s="649">
        <f t="shared" si="17"/>
        <v>6.786</v>
      </c>
    </row>
    <row r="67" spans="1:107" ht="12.75">
      <c r="A67" s="24" t="s">
        <v>334</v>
      </c>
      <c r="B67" s="117" t="s">
        <v>1381</v>
      </c>
      <c r="C67" s="319" t="s">
        <v>99</v>
      </c>
      <c r="D67" s="367">
        <v>63</v>
      </c>
      <c r="E67" s="119" t="s">
        <v>1793</v>
      </c>
      <c r="F67" s="15">
        <v>4</v>
      </c>
      <c r="G67" s="18">
        <v>6</v>
      </c>
      <c r="H67" s="17">
        <v>6</v>
      </c>
      <c r="I67" s="16">
        <v>3</v>
      </c>
      <c r="J67" s="738">
        <v>5</v>
      </c>
      <c r="K67" s="188">
        <v>2</v>
      </c>
      <c r="L67" s="868">
        <v>392</v>
      </c>
      <c r="M67" s="884">
        <v>1010</v>
      </c>
      <c r="N67" s="106">
        <v>400</v>
      </c>
      <c r="O67" s="455">
        <v>0</v>
      </c>
      <c r="P67" s="531">
        <v>0</v>
      </c>
      <c r="Q67" s="340">
        <v>1406</v>
      </c>
      <c r="R67" s="98">
        <v>425</v>
      </c>
      <c r="S67" s="326">
        <f>MAX($BW67:$CD67)</f>
        <v>1123.129072265625</v>
      </c>
      <c r="T67" s="342">
        <v>14820</v>
      </c>
      <c r="U67" s="343">
        <v>96000</v>
      </c>
      <c r="V67" s="344">
        <v>10000</v>
      </c>
      <c r="W67" s="289">
        <v>0.445</v>
      </c>
      <c r="X67" s="340">
        <v>2004</v>
      </c>
      <c r="Y67" s="43">
        <v>90</v>
      </c>
      <c r="Z67" s="44">
        <v>10</v>
      </c>
      <c r="AA67" s="44">
        <v>25</v>
      </c>
      <c r="AB67" s="49">
        <v>67.5</v>
      </c>
      <c r="AC67" s="345">
        <v>1582</v>
      </c>
      <c r="AD67" s="312">
        <v>1250</v>
      </c>
      <c r="AE67" s="292">
        <f t="shared" si="20"/>
        <v>1.2656</v>
      </c>
      <c r="AF67" s="327">
        <v>75</v>
      </c>
      <c r="AG67" s="328">
        <v>50</v>
      </c>
      <c r="AH67" s="328">
        <v>40</v>
      </c>
      <c r="AI67" s="330">
        <v>60</v>
      </c>
      <c r="AJ67" s="5">
        <f t="shared" si="19"/>
        <v>4992</v>
      </c>
      <c r="AK67" s="103" t="str">
        <f t="shared" si="23"/>
        <v>A</v>
      </c>
      <c r="AL67" s="862">
        <v>1250</v>
      </c>
      <c r="AM67" s="458">
        <v>335</v>
      </c>
      <c r="AN67" s="295">
        <f>AL67/AM67</f>
        <v>3.7313432835820897</v>
      </c>
      <c r="AO67" s="145">
        <v>55</v>
      </c>
      <c r="AP67" s="85" t="s">
        <v>1267</v>
      </c>
      <c r="AQ67" s="297">
        <v>245</v>
      </c>
      <c r="AR67" s="33">
        <v>0</v>
      </c>
      <c r="AS67" s="34">
        <v>0</v>
      </c>
      <c r="AT67" s="34">
        <v>0</v>
      </c>
      <c r="AU67" s="73">
        <v>13</v>
      </c>
      <c r="AV67" s="39">
        <v>130</v>
      </c>
      <c r="AW67" s="143">
        <v>214</v>
      </c>
      <c r="AX67" s="33">
        <v>0</v>
      </c>
      <c r="AY67" s="34">
        <v>0</v>
      </c>
      <c r="AZ67" s="34">
        <v>0</v>
      </c>
      <c r="BA67" s="84"/>
      <c r="BB67" s="586">
        <v>3.75</v>
      </c>
      <c r="BC67" s="590"/>
      <c r="BD67" s="588" t="e">
        <f t="shared" si="10"/>
        <v>#DIV/0!</v>
      </c>
      <c r="BE67" s="299"/>
      <c r="BF67" s="300"/>
      <c r="BG67" s="112"/>
      <c r="BH67" s="541"/>
      <c r="BI67" s="301"/>
      <c r="BJ67" s="346" t="s">
        <v>1401</v>
      </c>
      <c r="BK67" s="36" t="s">
        <v>1317</v>
      </c>
      <c r="BL67" s="303" t="s">
        <v>578</v>
      </c>
      <c r="BM67" s="86" t="s">
        <v>649</v>
      </c>
      <c r="BN67" s="303" t="s">
        <v>1172</v>
      </c>
      <c r="BO67" s="86"/>
      <c r="BP67" s="1" t="s">
        <v>380</v>
      </c>
      <c r="BR67" s="1">
        <v>218</v>
      </c>
      <c r="BS67" s="21">
        <v>12013</v>
      </c>
      <c r="BT67" s="605"/>
      <c r="BU67" s="600">
        <v>6.25</v>
      </c>
      <c r="BV67" s="601">
        <v>0</v>
      </c>
      <c r="BW67" s="329">
        <f t="shared" si="21"/>
        <v>425</v>
      </c>
      <c r="BX67" s="329">
        <f>IF($F67&gt;0,$BW67*$D$208,"")</f>
        <v>541.875</v>
      </c>
      <c r="BY67" s="329">
        <f>IF($F67&gt;1,$BX67*$D$209,"")</f>
        <v>690.890625</v>
      </c>
      <c r="BZ67" s="329">
        <f>IF($F67&gt;2,$BY67*$D$210,"")</f>
        <v>880.8855468749999</v>
      </c>
      <c r="CA67" s="329">
        <f>IF($F67&gt;3,$BZ67*$D$211,"")</f>
        <v>1123.129072265625</v>
      </c>
      <c r="CB67" s="329">
        <f>IF($F67&gt;4,$CA67*$D$212,"")</f>
      </c>
      <c r="CC67" s="329">
        <f>IF($F67&gt;5,$CB67*$D$213,"")</f>
      </c>
      <c r="CD67" s="329">
        <f>IF($F67&gt;6,$CC67*$D$214,"")</f>
      </c>
      <c r="CE67" s="485" t="s">
        <v>173</v>
      </c>
      <c r="CF67" s="851" t="s">
        <v>182</v>
      </c>
      <c r="CG67" s="440"/>
      <c r="CH67" s="305"/>
      <c r="CI67" s="305">
        <f t="shared" si="6"/>
        <v>0</v>
      </c>
      <c r="CJ67" s="306">
        <f t="shared" si="7"/>
        <v>0</v>
      </c>
      <c r="CK67" s="307" t="e">
        <f>CJ67-#REF!</f>
        <v>#REF!</v>
      </c>
      <c r="CL67" s="54"/>
      <c r="CM67" s="21" t="e">
        <f t="shared" si="11"/>
        <v>#DIV/0!</v>
      </c>
      <c r="CN67" s="21" t="e">
        <f t="shared" si="12"/>
        <v>#DIV/0!</v>
      </c>
      <c r="CO67" s="54"/>
      <c r="CP67" s="628">
        <f t="shared" si="13"/>
        <v>192.5</v>
      </c>
      <c r="CQ67" s="622">
        <f t="shared" si="14"/>
        <v>225</v>
      </c>
      <c r="CR67" s="624" t="str">
        <f t="shared" si="15"/>
        <v>A</v>
      </c>
      <c r="CS67" s="634">
        <f t="shared" si="16"/>
        <v>214</v>
      </c>
      <c r="CT67" s="591">
        <f t="shared" si="8"/>
        <v>14820000</v>
      </c>
      <c r="CU67" s="591">
        <f t="shared" si="9"/>
        <v>267.5</v>
      </c>
      <c r="CV67" s="591">
        <v>15000</v>
      </c>
      <c r="CW67" s="54"/>
      <c r="CX67" s="54"/>
      <c r="CY67" s="54"/>
      <c r="CZ67" s="54"/>
      <c r="DA67" s="54">
        <v>1.6875</v>
      </c>
      <c r="DB67" s="54">
        <v>6.25</v>
      </c>
      <c r="DC67" s="649">
        <f t="shared" si="17"/>
        <v>6.594900000000001</v>
      </c>
    </row>
    <row r="68" spans="1:107" ht="12.75">
      <c r="A68" s="24" t="s">
        <v>734</v>
      </c>
      <c r="B68" s="117" t="s">
        <v>1592</v>
      </c>
      <c r="C68" s="308" t="s">
        <v>827</v>
      </c>
      <c r="D68" s="367">
        <v>62</v>
      </c>
      <c r="E68" s="119" t="s">
        <v>1160</v>
      </c>
      <c r="F68" s="15">
        <v>4</v>
      </c>
      <c r="G68" s="800">
        <v>6</v>
      </c>
      <c r="H68" s="802">
        <v>5</v>
      </c>
      <c r="I68" s="323">
        <v>4</v>
      </c>
      <c r="J68" s="324">
        <v>2</v>
      </c>
      <c r="K68" s="188">
        <v>2</v>
      </c>
      <c r="L68" s="870">
        <v>380</v>
      </c>
      <c r="M68" s="883">
        <v>900</v>
      </c>
      <c r="N68" s="106">
        <v>400</v>
      </c>
      <c r="O68" s="455">
        <v>150</v>
      </c>
      <c r="P68" s="810">
        <v>50</v>
      </c>
      <c r="Q68" s="340">
        <v>872</v>
      </c>
      <c r="R68" s="341">
        <v>345</v>
      </c>
      <c r="S68" s="358">
        <f aca="true" t="shared" si="24" ref="S68:S75">MAX($BW68:$CD68)</f>
        <v>911.7165410156248</v>
      </c>
      <c r="T68" s="352">
        <v>11810</v>
      </c>
      <c r="U68" s="359">
        <v>120000</v>
      </c>
      <c r="V68" s="360">
        <v>10000</v>
      </c>
      <c r="W68" s="289">
        <v>0.48</v>
      </c>
      <c r="X68" s="153">
        <v>1463</v>
      </c>
      <c r="Y68" s="46">
        <v>50</v>
      </c>
      <c r="Z68" s="48">
        <v>70</v>
      </c>
      <c r="AA68" s="48">
        <v>53.125</v>
      </c>
      <c r="AB68" s="50">
        <v>35</v>
      </c>
      <c r="AC68" s="345">
        <v>1238</v>
      </c>
      <c r="AD68" s="312">
        <v>1250</v>
      </c>
      <c r="AE68" s="369">
        <f t="shared" si="20"/>
        <v>0.9904</v>
      </c>
      <c r="AF68" s="46">
        <v>0</v>
      </c>
      <c r="AG68" s="48">
        <v>81.25</v>
      </c>
      <c r="AH68" s="48">
        <v>62.5</v>
      </c>
      <c r="AI68" s="47">
        <v>20</v>
      </c>
      <c r="AJ68" s="5">
        <f aca="true" t="shared" si="25" ref="AJ68:AJ99">Q68+X68+AC68</f>
        <v>3573</v>
      </c>
      <c r="AK68" s="103" t="str">
        <f t="shared" si="23"/>
        <v>A</v>
      </c>
      <c r="AL68" s="862">
        <v>1250</v>
      </c>
      <c r="AM68" s="459">
        <v>343.75</v>
      </c>
      <c r="AN68" s="295">
        <f t="shared" si="4"/>
        <v>3.6363636363636362</v>
      </c>
      <c r="AO68" s="145">
        <v>130</v>
      </c>
      <c r="AP68" s="313" t="s">
        <v>466</v>
      </c>
      <c r="AQ68" s="370">
        <v>281</v>
      </c>
      <c r="AR68" s="33">
        <v>28</v>
      </c>
      <c r="AS68" s="34">
        <v>0</v>
      </c>
      <c r="AT68" s="34">
        <v>0</v>
      </c>
      <c r="AU68" s="73">
        <v>0</v>
      </c>
      <c r="AV68" s="371">
        <v>150</v>
      </c>
      <c r="AW68" s="143">
        <v>175</v>
      </c>
      <c r="AX68" s="33">
        <v>0</v>
      </c>
      <c r="AY68" s="34">
        <v>0</v>
      </c>
      <c r="AZ68" s="34">
        <v>0</v>
      </c>
      <c r="BA68" s="84">
        <v>0</v>
      </c>
      <c r="BB68" s="586">
        <v>3.75</v>
      </c>
      <c r="BC68" s="590">
        <v>1.25E-06</v>
      </c>
      <c r="BD68" s="588">
        <f t="shared" si="10"/>
        <v>52.92125317527519</v>
      </c>
      <c r="BE68" s="299"/>
      <c r="BF68" s="300"/>
      <c r="BG68" s="112"/>
      <c r="BH68" s="541"/>
      <c r="BI68" s="372">
        <v>2</v>
      </c>
      <c r="BJ68" s="346" t="s">
        <v>1401</v>
      </c>
      <c r="BK68" s="36" t="s">
        <v>1148</v>
      </c>
      <c r="BL68" s="303" t="s">
        <v>948</v>
      </c>
      <c r="BM68" s="86" t="s">
        <v>785</v>
      </c>
      <c r="BN68" s="303" t="s">
        <v>1174</v>
      </c>
      <c r="BO68" s="86"/>
      <c r="BP68" s="1" t="s">
        <v>786</v>
      </c>
      <c r="BR68" s="1">
        <v>401</v>
      </c>
      <c r="BS68" s="21">
        <v>20125</v>
      </c>
      <c r="BT68" s="605" t="s">
        <v>214</v>
      </c>
      <c r="BU68" s="610">
        <v>5</v>
      </c>
      <c r="BV68" s="601">
        <v>3</v>
      </c>
      <c r="BW68" s="329">
        <f t="shared" si="21"/>
        <v>345</v>
      </c>
      <c r="BX68" s="329">
        <f>IF($F68&gt;0,$BW68*$D$208,"")</f>
        <v>439.87499999999994</v>
      </c>
      <c r="BY68" s="329">
        <f>IF($F68&gt;1,$BX68*$D$209,"")</f>
        <v>560.8406249999999</v>
      </c>
      <c r="BZ68" s="329">
        <f>IF($F68&gt;2,$BY68*$D$210,"")</f>
        <v>715.0717968749999</v>
      </c>
      <c r="CA68" s="329">
        <f>IF($F68&gt;3,$BZ68*$D$211,"")</f>
        <v>911.7165410156248</v>
      </c>
      <c r="CB68" s="329">
        <f>IF($F68&gt;4,$CA68*$D$212,"")</f>
      </c>
      <c r="CC68" s="329">
        <f>IF($F68&gt;5,$CB68*$D$213,"")</f>
      </c>
      <c r="CD68" s="329">
        <f>IF($F68&gt;6,$CC68*$D$214,"")</f>
      </c>
      <c r="CE68" s="485" t="s">
        <v>1719</v>
      </c>
      <c r="CF68" s="849" t="s">
        <v>515</v>
      </c>
      <c r="CG68" s="440" t="s">
        <v>149</v>
      </c>
      <c r="CH68" s="305">
        <v>15022426</v>
      </c>
      <c r="CI68" s="305">
        <f t="shared" si="6"/>
        <v>4506727.8</v>
      </c>
      <c r="CJ68" s="306">
        <f t="shared" si="7"/>
        <v>10515698.2</v>
      </c>
      <c r="CK68" s="307" t="e">
        <f>CJ68-#REF!</f>
        <v>#REF!</v>
      </c>
      <c r="CL68" s="592">
        <v>15022426</v>
      </c>
      <c r="CM68" s="21">
        <f t="shared" si="11"/>
        <v>1</v>
      </c>
      <c r="CN68" s="21">
        <f t="shared" si="12"/>
        <v>3.3333333333333335</v>
      </c>
      <c r="CO68" s="54"/>
      <c r="CP68" s="625">
        <f t="shared" si="13"/>
        <v>208.125</v>
      </c>
      <c r="CQ68" s="626">
        <f t="shared" si="14"/>
        <v>163.75</v>
      </c>
      <c r="CR68" s="624" t="str">
        <f t="shared" si="15"/>
        <v>A</v>
      </c>
      <c r="CS68" s="634">
        <f t="shared" si="16"/>
        <v>175</v>
      </c>
      <c r="CT68" s="591">
        <f t="shared" si="8"/>
        <v>11810000</v>
      </c>
      <c r="CU68" s="591">
        <f t="shared" si="9"/>
        <v>218.75</v>
      </c>
      <c r="CV68" s="591">
        <v>15000</v>
      </c>
      <c r="CW68" s="54"/>
      <c r="CX68" s="54"/>
      <c r="CY68" s="54"/>
      <c r="CZ68" s="54"/>
      <c r="DA68" s="54">
        <v>1.6875</v>
      </c>
      <c r="DB68" s="54">
        <v>6.25</v>
      </c>
      <c r="DC68" s="649">
        <f t="shared" si="17"/>
        <v>5.6688</v>
      </c>
    </row>
    <row r="69" spans="1:107" ht="12.75">
      <c r="A69" s="24" t="s">
        <v>735</v>
      </c>
      <c r="B69" s="117" t="s">
        <v>1592</v>
      </c>
      <c r="C69" s="308" t="s">
        <v>827</v>
      </c>
      <c r="D69" s="367">
        <v>62</v>
      </c>
      <c r="E69" s="119" t="s">
        <v>1160</v>
      </c>
      <c r="F69" s="15">
        <v>5</v>
      </c>
      <c r="G69" s="684">
        <v>5</v>
      </c>
      <c r="H69" s="803">
        <v>4</v>
      </c>
      <c r="I69" s="323">
        <v>0</v>
      </c>
      <c r="J69" s="324">
        <v>3</v>
      </c>
      <c r="K69" s="188">
        <v>2</v>
      </c>
      <c r="L69" s="871">
        <v>350</v>
      </c>
      <c r="M69" s="883">
        <v>950</v>
      </c>
      <c r="N69" s="106">
        <v>400</v>
      </c>
      <c r="O69" s="455">
        <v>150</v>
      </c>
      <c r="P69" s="811">
        <v>50</v>
      </c>
      <c r="Q69" s="340">
        <v>872</v>
      </c>
      <c r="R69" s="341">
        <v>315</v>
      </c>
      <c r="S69" s="358">
        <f t="shared" si="24"/>
        <v>1061.3569732910155</v>
      </c>
      <c r="T69" s="352">
        <v>11370</v>
      </c>
      <c r="U69" s="359">
        <v>120000</v>
      </c>
      <c r="V69" s="360">
        <v>10000</v>
      </c>
      <c r="W69" s="289">
        <v>0.5</v>
      </c>
      <c r="X69" s="153">
        <v>1800</v>
      </c>
      <c r="Y69" s="46">
        <v>50</v>
      </c>
      <c r="Z69" s="48">
        <v>60</v>
      </c>
      <c r="AA69" s="48">
        <v>43.75</v>
      </c>
      <c r="AB69" s="50">
        <v>35</v>
      </c>
      <c r="AC69" s="345">
        <v>788</v>
      </c>
      <c r="AD69" s="312">
        <v>1250</v>
      </c>
      <c r="AE69" s="369">
        <f t="shared" si="20"/>
        <v>0.6304</v>
      </c>
      <c r="AF69" s="46">
        <v>0</v>
      </c>
      <c r="AG69" s="48">
        <v>75</v>
      </c>
      <c r="AH69" s="48">
        <v>55</v>
      </c>
      <c r="AI69" s="47">
        <v>20</v>
      </c>
      <c r="AJ69" s="5">
        <f t="shared" si="25"/>
        <v>3460</v>
      </c>
      <c r="AK69" s="103" t="str">
        <f t="shared" si="23"/>
        <v>A</v>
      </c>
      <c r="AL69" s="862">
        <v>1250</v>
      </c>
      <c r="AM69" s="459">
        <v>343.75</v>
      </c>
      <c r="AN69" s="295">
        <f t="shared" si="4"/>
        <v>3.6363636363636362</v>
      </c>
      <c r="AO69" s="145">
        <v>104</v>
      </c>
      <c r="AP69" s="313" t="s">
        <v>462</v>
      </c>
      <c r="AQ69" s="370">
        <v>215</v>
      </c>
      <c r="AR69" s="33">
        <v>24</v>
      </c>
      <c r="AS69" s="34">
        <v>0</v>
      </c>
      <c r="AT69" s="34">
        <v>0</v>
      </c>
      <c r="AU69" s="73">
        <v>0</v>
      </c>
      <c r="AV69" s="371">
        <v>156</v>
      </c>
      <c r="AW69" s="143">
        <v>164</v>
      </c>
      <c r="AX69" s="33">
        <v>0</v>
      </c>
      <c r="AY69" s="34">
        <v>0</v>
      </c>
      <c r="AZ69" s="34">
        <v>0</v>
      </c>
      <c r="BA69" s="84">
        <v>0</v>
      </c>
      <c r="BB69" s="586">
        <v>3.75</v>
      </c>
      <c r="BC69" s="590">
        <v>1.25E-06</v>
      </c>
      <c r="BD69" s="588">
        <f aca="true" t="shared" si="26" ref="BD69:BD132">(AL69*1.25*(1-0.1*5))/(T69*1000*BC69)</f>
        <v>54.96921723834652</v>
      </c>
      <c r="BE69" s="299"/>
      <c r="BF69" s="300"/>
      <c r="BG69" s="112"/>
      <c r="BH69" s="541"/>
      <c r="BI69" s="372">
        <v>1</v>
      </c>
      <c r="BJ69" s="346" t="s">
        <v>1401</v>
      </c>
      <c r="BK69" s="36" t="s">
        <v>1151</v>
      </c>
      <c r="BL69" s="303" t="s">
        <v>1364</v>
      </c>
      <c r="BM69" s="86" t="s">
        <v>896</v>
      </c>
      <c r="BN69" s="303" t="s">
        <v>1079</v>
      </c>
      <c r="BO69" s="86"/>
      <c r="BP69" s="1" t="s">
        <v>897</v>
      </c>
      <c r="BR69" s="1">
        <v>262</v>
      </c>
      <c r="BS69" s="21">
        <v>11965</v>
      </c>
      <c r="BT69" s="605" t="s">
        <v>214</v>
      </c>
      <c r="BU69" s="610">
        <v>3</v>
      </c>
      <c r="BV69" s="601">
        <v>3</v>
      </c>
      <c r="BW69" s="329">
        <f t="shared" si="21"/>
        <v>315</v>
      </c>
      <c r="BX69" s="329">
        <f>IF($F69&gt;0,$BW69*$D$208,"")</f>
        <v>401.625</v>
      </c>
      <c r="BY69" s="329">
        <f>IF($F69&gt;1,$BX69*$D$209,"")</f>
        <v>512.071875</v>
      </c>
      <c r="BZ69" s="329">
        <f>IF($F69&gt;2,$BY69*$D$210,"")</f>
        <v>652.8916406249999</v>
      </c>
      <c r="CA69" s="329">
        <f>IF($F69&gt;3,$BZ69*$D$211,"")</f>
        <v>832.4368417968749</v>
      </c>
      <c r="CB69" s="329">
        <f>IF($F69&gt;4,$CA69*$D$212,"")</f>
        <v>1061.3569732910155</v>
      </c>
      <c r="CC69" s="329">
        <f>IF($F69&gt;5,$CB69*$D$213,"")</f>
      </c>
      <c r="CD69" s="329">
        <f>IF($F69&gt;6,$CC69*$D$214,"")</f>
      </c>
      <c r="CE69" s="485" t="s">
        <v>501</v>
      </c>
      <c r="CF69" s="849" t="s">
        <v>515</v>
      </c>
      <c r="CG69" s="440" t="s">
        <v>634</v>
      </c>
      <c r="CH69" s="305">
        <v>15013042</v>
      </c>
      <c r="CI69" s="305">
        <f t="shared" si="6"/>
        <v>4503912.6</v>
      </c>
      <c r="CJ69" s="306">
        <f t="shared" si="7"/>
        <v>10509129.4</v>
      </c>
      <c r="CK69" s="307" t="e">
        <f>CJ69-#REF!</f>
        <v>#REF!</v>
      </c>
      <c r="CL69" s="592">
        <v>15013042</v>
      </c>
      <c r="CM69" s="21">
        <f aca="true" t="shared" si="27" ref="CM69:CM132">CL69/CH69</f>
        <v>1</v>
      </c>
      <c r="CN69" s="21">
        <f aca="true" t="shared" si="28" ref="CN69:CN132">CL69/CI69</f>
        <v>3.3333333333333335</v>
      </c>
      <c r="CO69" s="54"/>
      <c r="CP69" s="625">
        <f aca="true" t="shared" si="29" ref="CP69:CP132">SUM(Y69:AB69)</f>
        <v>188.75</v>
      </c>
      <c r="CQ69" s="626">
        <f aca="true" t="shared" si="30" ref="CQ69:CQ132">SUM(AF69:AI69)</f>
        <v>150</v>
      </c>
      <c r="CR69" s="624" t="str">
        <f aca="true" t="shared" si="31" ref="CR69:CR132">AK69</f>
        <v>A</v>
      </c>
      <c r="CS69" s="634">
        <f aca="true" t="shared" si="32" ref="CS69:CS132">AW69</f>
        <v>164</v>
      </c>
      <c r="CT69" s="591">
        <f t="shared" si="8"/>
        <v>11370000</v>
      </c>
      <c r="CU69" s="591">
        <f aca="true" t="shared" si="33" ref="CU69:CU123">CS69*1.25</f>
        <v>205</v>
      </c>
      <c r="CV69" s="591">
        <v>15000</v>
      </c>
      <c r="CW69" s="54"/>
      <c r="CX69" s="54"/>
      <c r="CY69" s="54"/>
      <c r="CZ69" s="54"/>
      <c r="DA69" s="54">
        <v>1.6875</v>
      </c>
      <c r="DB69" s="54">
        <v>6.25</v>
      </c>
      <c r="DC69" s="649">
        <f aca="true" t="shared" si="34" ref="DC69:DC132">T69*W69/1000</f>
        <v>5.685</v>
      </c>
    </row>
    <row r="70" spans="1:107" ht="12.75">
      <c r="A70" s="24" t="s">
        <v>899</v>
      </c>
      <c r="B70" s="117" t="s">
        <v>900</v>
      </c>
      <c r="C70" s="636" t="s">
        <v>865</v>
      </c>
      <c r="D70" s="367">
        <v>62</v>
      </c>
      <c r="E70" s="119" t="s">
        <v>1160</v>
      </c>
      <c r="F70" s="15">
        <v>3</v>
      </c>
      <c r="G70" s="684">
        <v>7</v>
      </c>
      <c r="H70" s="17">
        <v>4</v>
      </c>
      <c r="I70" s="323">
        <v>1</v>
      </c>
      <c r="J70" s="741">
        <v>3</v>
      </c>
      <c r="K70" s="188">
        <v>2</v>
      </c>
      <c r="L70" s="871">
        <v>500</v>
      </c>
      <c r="M70" s="883">
        <v>700</v>
      </c>
      <c r="N70" s="106">
        <v>400</v>
      </c>
      <c r="O70" s="454">
        <v>10</v>
      </c>
      <c r="P70" s="531">
        <v>10</v>
      </c>
      <c r="Q70" s="340">
        <v>872</v>
      </c>
      <c r="R70" s="341">
        <v>315</v>
      </c>
      <c r="S70" s="358">
        <f t="shared" si="24"/>
        <v>652.8916406249999</v>
      </c>
      <c r="T70" s="352">
        <v>12230</v>
      </c>
      <c r="U70" s="359">
        <v>96000</v>
      </c>
      <c r="V70" s="360">
        <v>10000</v>
      </c>
      <c r="W70" s="289">
        <v>0.4</v>
      </c>
      <c r="X70" s="153">
        <v>956</v>
      </c>
      <c r="Y70" s="46">
        <v>50</v>
      </c>
      <c r="Z70" s="48">
        <v>10</v>
      </c>
      <c r="AA70" s="48">
        <v>43.75</v>
      </c>
      <c r="AB70" s="50">
        <v>72.5</v>
      </c>
      <c r="AC70" s="345">
        <v>1603</v>
      </c>
      <c r="AD70" s="312">
        <v>1250</v>
      </c>
      <c r="AE70" s="369">
        <f t="shared" si="20"/>
        <v>1.2824</v>
      </c>
      <c r="AF70" s="46">
        <v>0</v>
      </c>
      <c r="AG70" s="48">
        <v>50</v>
      </c>
      <c r="AH70" s="48">
        <v>55</v>
      </c>
      <c r="AI70" s="47">
        <v>60</v>
      </c>
      <c r="AJ70" s="5">
        <f t="shared" si="25"/>
        <v>3431</v>
      </c>
      <c r="AK70" s="103" t="str">
        <f t="shared" si="23"/>
        <v>S</v>
      </c>
      <c r="AL70" s="862">
        <v>1093</v>
      </c>
      <c r="AM70" s="459">
        <v>343.75</v>
      </c>
      <c r="AN70" s="295">
        <f t="shared" si="4"/>
        <v>3.1796363636363636</v>
      </c>
      <c r="AO70" s="145">
        <v>120</v>
      </c>
      <c r="AP70" s="313" t="s">
        <v>462</v>
      </c>
      <c r="AQ70" s="370">
        <v>200</v>
      </c>
      <c r="AR70" s="33">
        <v>0</v>
      </c>
      <c r="AS70" s="34">
        <v>28</v>
      </c>
      <c r="AT70" s="34">
        <v>0</v>
      </c>
      <c r="AU70" s="73">
        <v>0</v>
      </c>
      <c r="AV70" s="371">
        <v>180</v>
      </c>
      <c r="AW70" s="143">
        <v>159</v>
      </c>
      <c r="AX70" s="33">
        <v>0</v>
      </c>
      <c r="AY70" s="34">
        <v>0</v>
      </c>
      <c r="AZ70" s="34">
        <v>0</v>
      </c>
      <c r="BA70" s="84">
        <v>0</v>
      </c>
      <c r="BB70" s="586">
        <v>3.75</v>
      </c>
      <c r="BC70" s="590">
        <v>1.25E-06</v>
      </c>
      <c r="BD70" s="588">
        <f t="shared" si="26"/>
        <v>44.68520032706459</v>
      </c>
      <c r="BE70" s="299"/>
      <c r="BF70" s="300"/>
      <c r="BG70" s="112"/>
      <c r="BH70" s="541"/>
      <c r="BI70" s="372">
        <v>1</v>
      </c>
      <c r="BJ70" s="346" t="s">
        <v>1401</v>
      </c>
      <c r="BK70" s="36" t="s">
        <v>1346</v>
      </c>
      <c r="BL70" s="303" t="s">
        <v>19</v>
      </c>
      <c r="BM70" s="86" t="s">
        <v>171</v>
      </c>
      <c r="BN70" s="303" t="s">
        <v>1080</v>
      </c>
      <c r="BO70" s="86"/>
      <c r="BP70" s="1" t="s">
        <v>172</v>
      </c>
      <c r="BR70" s="1">
        <v>262</v>
      </c>
      <c r="BS70" s="21">
        <v>11957</v>
      </c>
      <c r="BT70" s="605"/>
      <c r="BU70" s="600">
        <v>3.75</v>
      </c>
      <c r="BV70" s="601">
        <v>0.4</v>
      </c>
      <c r="BW70" s="329">
        <f t="shared" si="21"/>
        <v>315</v>
      </c>
      <c r="BX70" s="329">
        <f>IF($F70&gt;0,$BW70*$D$208,"")</f>
        <v>401.625</v>
      </c>
      <c r="BY70" s="329">
        <f>IF($F70&gt;1,$BX70*$D$209,"")</f>
        <v>512.071875</v>
      </c>
      <c r="BZ70" s="329">
        <f>IF($F70&gt;2,$BY70*$D$210,"")</f>
        <v>652.8916406249999</v>
      </c>
      <c r="CA70" s="329">
        <f>IF($F70&gt;3,$BZ70*$D$211,"")</f>
      </c>
      <c r="CB70" s="329">
        <f>IF($F70&gt;4,$CA70*$D$212,"")</f>
      </c>
      <c r="CC70" s="329">
        <f>IF($F70&gt;5,$CB70*$D$213,"")</f>
      </c>
      <c r="CD70" s="329">
        <f>IF($F70&gt;6,$CC70*$D$214,"")</f>
      </c>
      <c r="CE70" s="485" t="s">
        <v>1694</v>
      </c>
      <c r="CF70" s="849" t="s">
        <v>515</v>
      </c>
      <c r="CG70" s="440" t="s">
        <v>949</v>
      </c>
      <c r="CH70" s="305">
        <v>14871496</v>
      </c>
      <c r="CI70" s="305">
        <f t="shared" si="6"/>
        <v>4461448.8</v>
      </c>
      <c r="CJ70" s="306">
        <f t="shared" si="7"/>
        <v>10410047.2</v>
      </c>
      <c r="CK70" s="307" t="e">
        <f>CJ70-#REF!</f>
        <v>#REF!</v>
      </c>
      <c r="CL70" s="592">
        <v>14871496</v>
      </c>
      <c r="CM70" s="21">
        <f t="shared" si="27"/>
        <v>1</v>
      </c>
      <c r="CN70" s="21">
        <f t="shared" si="28"/>
        <v>3.3333333333333335</v>
      </c>
      <c r="CO70" s="54"/>
      <c r="CP70" s="622">
        <f t="shared" si="29"/>
        <v>176.25</v>
      </c>
      <c r="CQ70" s="623">
        <f t="shared" si="30"/>
        <v>165</v>
      </c>
      <c r="CR70" s="624" t="str">
        <f t="shared" si="31"/>
        <v>S</v>
      </c>
      <c r="CS70" s="634">
        <f t="shared" si="32"/>
        <v>159</v>
      </c>
      <c r="CT70" s="591">
        <f aca="true" t="shared" si="35" ref="CT70:CT90">T70*1000</f>
        <v>12230000</v>
      </c>
      <c r="CU70" s="591">
        <f t="shared" si="33"/>
        <v>198.75</v>
      </c>
      <c r="CV70" s="591">
        <v>15000</v>
      </c>
      <c r="CW70" s="54"/>
      <c r="CX70" s="54"/>
      <c r="CY70" s="54"/>
      <c r="CZ70" s="54"/>
      <c r="DA70" s="54">
        <v>1.6875</v>
      </c>
      <c r="DB70" s="54">
        <v>6.25</v>
      </c>
      <c r="DC70" s="649">
        <f t="shared" si="34"/>
        <v>4.892</v>
      </c>
    </row>
    <row r="71" spans="1:107" ht="12.75">
      <c r="A71" s="24" t="s">
        <v>174</v>
      </c>
      <c r="B71" s="117" t="s">
        <v>900</v>
      </c>
      <c r="C71" s="636" t="s">
        <v>865</v>
      </c>
      <c r="D71" s="367">
        <v>62</v>
      </c>
      <c r="E71" s="119" t="s">
        <v>1160</v>
      </c>
      <c r="F71" s="15">
        <v>3</v>
      </c>
      <c r="G71" s="684">
        <v>7</v>
      </c>
      <c r="H71" s="17">
        <v>5</v>
      </c>
      <c r="I71" s="740">
        <v>5</v>
      </c>
      <c r="J71" s="324">
        <v>2</v>
      </c>
      <c r="K71" s="188">
        <v>2</v>
      </c>
      <c r="L71" s="871">
        <v>600</v>
      </c>
      <c r="M71" s="883">
        <v>600</v>
      </c>
      <c r="N71" s="106">
        <v>400</v>
      </c>
      <c r="O71" s="454">
        <v>25</v>
      </c>
      <c r="P71" s="531">
        <v>25</v>
      </c>
      <c r="Q71" s="340">
        <v>872</v>
      </c>
      <c r="R71" s="341">
        <v>305</v>
      </c>
      <c r="S71" s="358">
        <f t="shared" si="24"/>
        <v>632.1649218749999</v>
      </c>
      <c r="T71" s="352">
        <v>12730</v>
      </c>
      <c r="U71" s="359">
        <v>96000</v>
      </c>
      <c r="V71" s="360">
        <v>10000</v>
      </c>
      <c r="W71" s="289">
        <v>0.45</v>
      </c>
      <c r="X71" s="153">
        <v>956</v>
      </c>
      <c r="Y71" s="46">
        <v>50</v>
      </c>
      <c r="Z71" s="48">
        <v>10</v>
      </c>
      <c r="AA71" s="48">
        <v>53.125</v>
      </c>
      <c r="AB71" s="50">
        <v>79.375</v>
      </c>
      <c r="AC71" s="345">
        <v>1788</v>
      </c>
      <c r="AD71" s="312">
        <v>1250</v>
      </c>
      <c r="AE71" s="369">
        <f t="shared" si="20"/>
        <v>1.4304</v>
      </c>
      <c r="AF71" s="46">
        <v>0</v>
      </c>
      <c r="AG71" s="48">
        <v>50</v>
      </c>
      <c r="AH71" s="48">
        <v>62.5</v>
      </c>
      <c r="AI71" s="47">
        <v>70</v>
      </c>
      <c r="AJ71" s="5">
        <f t="shared" si="25"/>
        <v>3616</v>
      </c>
      <c r="AK71" s="103" t="str">
        <f t="shared" si="23"/>
        <v>S</v>
      </c>
      <c r="AL71" s="862">
        <v>1062</v>
      </c>
      <c r="AM71" s="459">
        <v>343.75</v>
      </c>
      <c r="AN71" s="295">
        <f t="shared" si="4"/>
        <v>3.0894545454545455</v>
      </c>
      <c r="AO71" s="145">
        <v>150</v>
      </c>
      <c r="AP71" s="313" t="s">
        <v>466</v>
      </c>
      <c r="AQ71" s="370">
        <v>259</v>
      </c>
      <c r="AR71" s="33">
        <v>0</v>
      </c>
      <c r="AS71" s="34">
        <v>32</v>
      </c>
      <c r="AT71" s="34">
        <v>0</v>
      </c>
      <c r="AU71" s="73">
        <v>0</v>
      </c>
      <c r="AV71" s="371">
        <v>173</v>
      </c>
      <c r="AW71" s="143">
        <v>170</v>
      </c>
      <c r="AX71" s="33">
        <v>0</v>
      </c>
      <c r="AY71" s="34">
        <v>0</v>
      </c>
      <c r="AZ71" s="34">
        <v>0</v>
      </c>
      <c r="BA71" s="84">
        <v>0</v>
      </c>
      <c r="BB71" s="586">
        <v>3.75</v>
      </c>
      <c r="BC71" s="590">
        <v>1.25E-06</v>
      </c>
      <c r="BD71" s="588">
        <f t="shared" si="26"/>
        <v>41.712490180675566</v>
      </c>
      <c r="BE71" s="299"/>
      <c r="BF71" s="300"/>
      <c r="BG71" s="112"/>
      <c r="BH71" s="541"/>
      <c r="BI71" s="372">
        <v>2</v>
      </c>
      <c r="BJ71" s="346" t="s">
        <v>1401</v>
      </c>
      <c r="BK71" s="36" t="s">
        <v>1753</v>
      </c>
      <c r="BL71" s="303" t="s">
        <v>20</v>
      </c>
      <c r="BM71" s="86" t="s">
        <v>1717</v>
      </c>
      <c r="BN71" s="303" t="s">
        <v>1232</v>
      </c>
      <c r="BO71" s="86"/>
      <c r="BP71" s="1" t="s">
        <v>1718</v>
      </c>
      <c r="BR71" s="1">
        <v>262</v>
      </c>
      <c r="BS71" s="21">
        <v>11959</v>
      </c>
      <c r="BT71" s="605"/>
      <c r="BU71" s="600">
        <v>6.25</v>
      </c>
      <c r="BV71" s="601">
        <v>1</v>
      </c>
      <c r="BW71" s="329">
        <f t="shared" si="21"/>
        <v>305</v>
      </c>
      <c r="BX71" s="329">
        <f>IF($F71&gt;0,$BW71*$D$208,"")</f>
        <v>388.875</v>
      </c>
      <c r="BY71" s="329">
        <f>IF($F71&gt;1,$BX71*$D$209,"")</f>
        <v>495.81562499999995</v>
      </c>
      <c r="BZ71" s="329">
        <f>IF($F71&gt;2,$BY71*$D$210,"")</f>
        <v>632.1649218749999</v>
      </c>
      <c r="CA71" s="329">
        <f>IF($F71&gt;3,$BZ71*$D$211,"")</f>
      </c>
      <c r="CB71" s="329">
        <f>IF($F71&gt;4,$CA71*$D$212,"")</f>
      </c>
      <c r="CC71" s="329">
        <f>IF($F71&gt;5,$CB71*$D$213,"")</f>
      </c>
      <c r="CD71" s="329">
        <f>IF($F71&gt;6,$CC71*$D$214,"")</f>
      </c>
      <c r="CE71" s="485" t="s">
        <v>269</v>
      </c>
      <c r="CF71" s="849" t="s">
        <v>515</v>
      </c>
      <c r="CG71" s="440" t="s">
        <v>880</v>
      </c>
      <c r="CH71" s="305">
        <v>15001492</v>
      </c>
      <c r="CI71" s="305">
        <f t="shared" si="6"/>
        <v>4500447.6</v>
      </c>
      <c r="CJ71" s="306">
        <f t="shared" si="7"/>
        <v>10501044.4</v>
      </c>
      <c r="CK71" s="307" t="e">
        <f>CJ71-#REF!</f>
        <v>#REF!</v>
      </c>
      <c r="CL71" s="592">
        <v>15001492</v>
      </c>
      <c r="CM71" s="21">
        <f t="shared" si="27"/>
        <v>1</v>
      </c>
      <c r="CN71" s="21">
        <f t="shared" si="28"/>
        <v>3.3333333333333335</v>
      </c>
      <c r="CO71" s="54"/>
      <c r="CP71" s="622">
        <f t="shared" si="29"/>
        <v>192.5</v>
      </c>
      <c r="CQ71" s="623">
        <f t="shared" si="30"/>
        <v>182.5</v>
      </c>
      <c r="CR71" s="624" t="str">
        <f t="shared" si="31"/>
        <v>S</v>
      </c>
      <c r="CS71" s="634">
        <f t="shared" si="32"/>
        <v>170</v>
      </c>
      <c r="CT71" s="591">
        <f t="shared" si="35"/>
        <v>12730000</v>
      </c>
      <c r="CU71" s="591">
        <f t="shared" si="33"/>
        <v>212.5</v>
      </c>
      <c r="CV71" s="591">
        <v>15000</v>
      </c>
      <c r="CW71" s="54"/>
      <c r="CX71" s="54"/>
      <c r="CY71" s="54"/>
      <c r="CZ71" s="54"/>
      <c r="DA71" s="54">
        <v>1.6875</v>
      </c>
      <c r="DB71" s="54">
        <v>6.25</v>
      </c>
      <c r="DC71" s="649">
        <f t="shared" si="34"/>
        <v>5.7285</v>
      </c>
    </row>
    <row r="72" spans="1:107" ht="12.75">
      <c r="A72" s="24" t="s">
        <v>1720</v>
      </c>
      <c r="B72" s="117" t="s">
        <v>1721</v>
      </c>
      <c r="C72" s="315" t="s">
        <v>1042</v>
      </c>
      <c r="D72" s="367">
        <v>62</v>
      </c>
      <c r="E72" s="119" t="s">
        <v>1160</v>
      </c>
      <c r="F72" s="15">
        <v>4</v>
      </c>
      <c r="G72" s="684">
        <v>6</v>
      </c>
      <c r="H72" s="17">
        <v>4</v>
      </c>
      <c r="I72" s="323">
        <v>1</v>
      </c>
      <c r="J72" s="737">
        <v>3</v>
      </c>
      <c r="K72" s="188">
        <v>2</v>
      </c>
      <c r="L72" s="871">
        <v>420</v>
      </c>
      <c r="M72" s="883">
        <v>750</v>
      </c>
      <c r="N72" s="106">
        <v>400</v>
      </c>
      <c r="O72" s="454">
        <v>40</v>
      </c>
      <c r="P72" s="531">
        <v>40</v>
      </c>
      <c r="Q72" s="340">
        <v>872</v>
      </c>
      <c r="R72" s="341">
        <v>315</v>
      </c>
      <c r="S72" s="358">
        <f t="shared" si="24"/>
        <v>832.4368417968749</v>
      </c>
      <c r="T72" s="352">
        <v>11650</v>
      </c>
      <c r="U72" s="359">
        <v>116000</v>
      </c>
      <c r="V72" s="360">
        <v>10000</v>
      </c>
      <c r="W72" s="289">
        <v>0.485</v>
      </c>
      <c r="X72" s="153">
        <v>1294</v>
      </c>
      <c r="Y72" s="46">
        <v>50</v>
      </c>
      <c r="Z72" s="48">
        <v>10</v>
      </c>
      <c r="AA72" s="48">
        <v>67.5</v>
      </c>
      <c r="AB72" s="50">
        <v>51.25</v>
      </c>
      <c r="AC72" s="345">
        <v>1125</v>
      </c>
      <c r="AD72" s="312">
        <v>1250</v>
      </c>
      <c r="AE72" s="369">
        <f aca="true" t="shared" si="36" ref="AE72:AE107">AC72/AD72</f>
        <v>0.9</v>
      </c>
      <c r="AF72" s="46">
        <v>0</v>
      </c>
      <c r="AG72" s="48">
        <v>50</v>
      </c>
      <c r="AH72" s="48">
        <v>70</v>
      </c>
      <c r="AI72" s="47">
        <v>40</v>
      </c>
      <c r="AJ72" s="5">
        <f t="shared" si="25"/>
        <v>3291</v>
      </c>
      <c r="AK72" s="103" t="str">
        <f t="shared" si="23"/>
        <v>A</v>
      </c>
      <c r="AL72" s="862">
        <v>1156</v>
      </c>
      <c r="AM72" s="459">
        <v>343.75</v>
      </c>
      <c r="AN72" s="295">
        <f aca="true" t="shared" si="37" ref="AN72:AN144">AL72/AM72</f>
        <v>3.362909090909091</v>
      </c>
      <c r="AO72" s="145">
        <v>112</v>
      </c>
      <c r="AP72" s="313" t="s">
        <v>462</v>
      </c>
      <c r="AQ72" s="370">
        <v>210</v>
      </c>
      <c r="AR72" s="33">
        <v>0</v>
      </c>
      <c r="AS72" s="34">
        <v>0</v>
      </c>
      <c r="AT72" s="34">
        <v>26</v>
      </c>
      <c r="AU72" s="73">
        <v>0</v>
      </c>
      <c r="AV72" s="371">
        <v>162</v>
      </c>
      <c r="AW72" s="143">
        <v>170</v>
      </c>
      <c r="AX72" s="33">
        <v>0</v>
      </c>
      <c r="AY72" s="34">
        <v>0</v>
      </c>
      <c r="AZ72" s="34">
        <v>0</v>
      </c>
      <c r="BA72" s="84">
        <v>0</v>
      </c>
      <c r="BB72" s="586">
        <v>3.75</v>
      </c>
      <c r="BC72" s="590">
        <v>1.25E-06</v>
      </c>
      <c r="BD72" s="588">
        <f t="shared" si="26"/>
        <v>49.613733905579394</v>
      </c>
      <c r="BE72" s="299"/>
      <c r="BF72" s="300"/>
      <c r="BG72" s="112"/>
      <c r="BH72" s="541"/>
      <c r="BI72" s="372">
        <v>1</v>
      </c>
      <c r="BJ72" s="346" t="s">
        <v>1401</v>
      </c>
      <c r="BK72" s="36" t="s">
        <v>1346</v>
      </c>
      <c r="BL72" s="303" t="s">
        <v>1722</v>
      </c>
      <c r="BM72" s="86" t="s">
        <v>1515</v>
      </c>
      <c r="BN72" s="303" t="s">
        <v>1081</v>
      </c>
      <c r="BO72" s="86"/>
      <c r="BP72" s="1" t="s">
        <v>500</v>
      </c>
      <c r="BR72" s="1">
        <v>262</v>
      </c>
      <c r="BS72" s="21">
        <v>11969</v>
      </c>
      <c r="BT72" s="605"/>
      <c r="BU72" s="600">
        <v>3.75</v>
      </c>
      <c r="BV72" s="601">
        <v>1.6</v>
      </c>
      <c r="BW72" s="329">
        <f aca="true" t="shared" si="38" ref="BW72:BW88">$R72</f>
        <v>315</v>
      </c>
      <c r="BX72" s="329">
        <f>IF($F72&gt;0,$BW72*$D$208,"")</f>
        <v>401.625</v>
      </c>
      <c r="BY72" s="329">
        <f>IF($F72&gt;1,$BX72*$D$209,"")</f>
        <v>512.071875</v>
      </c>
      <c r="BZ72" s="329">
        <f>IF($F72&gt;2,$BY72*$D$210,"")</f>
        <v>652.8916406249999</v>
      </c>
      <c r="CA72" s="329">
        <f>IF($F72&gt;3,$BZ72*$D$211,"")</f>
        <v>832.4368417968749</v>
      </c>
      <c r="CB72" s="329">
        <f>IF($F72&gt;4,$CA72*$D$212,"")</f>
      </c>
      <c r="CC72" s="329">
        <f>IF($F72&gt;5,$CB72*$D$213,"")</f>
      </c>
      <c r="CD72" s="329">
        <f>IF($F72&gt;6,$CC72*$D$214,"")</f>
      </c>
      <c r="CE72" s="485" t="s">
        <v>1582</v>
      </c>
      <c r="CF72" s="849" t="s">
        <v>515</v>
      </c>
      <c r="CG72" s="440" t="s">
        <v>881</v>
      </c>
      <c r="CH72" s="305">
        <v>14962526</v>
      </c>
      <c r="CI72" s="305">
        <f aca="true" t="shared" si="39" ref="CI72:CI144">CH72*0.3</f>
        <v>4488757.8</v>
      </c>
      <c r="CJ72" s="306">
        <f aca="true" t="shared" si="40" ref="CJ72:CJ144">CH72-CI72</f>
        <v>10473768.2</v>
      </c>
      <c r="CK72" s="307" t="e">
        <f>CJ72-#REF!</f>
        <v>#REF!</v>
      </c>
      <c r="CL72" s="592">
        <v>14962526</v>
      </c>
      <c r="CM72" s="21">
        <f t="shared" si="27"/>
        <v>1</v>
      </c>
      <c r="CN72" s="21">
        <f t="shared" si="28"/>
        <v>3.3333333333333335</v>
      </c>
      <c r="CO72" s="54"/>
      <c r="CP72" s="625">
        <f t="shared" si="29"/>
        <v>178.75</v>
      </c>
      <c r="CQ72" s="626">
        <f t="shared" si="30"/>
        <v>160</v>
      </c>
      <c r="CR72" s="624" t="str">
        <f t="shared" si="31"/>
        <v>A</v>
      </c>
      <c r="CS72" s="634">
        <f t="shared" si="32"/>
        <v>170</v>
      </c>
      <c r="CT72" s="591">
        <f t="shared" si="35"/>
        <v>11650000</v>
      </c>
      <c r="CU72" s="591">
        <f t="shared" si="33"/>
        <v>212.5</v>
      </c>
      <c r="CV72" s="591">
        <v>15000</v>
      </c>
      <c r="CW72" s="54"/>
      <c r="CX72" s="54"/>
      <c r="CY72" s="54"/>
      <c r="CZ72" s="54"/>
      <c r="DA72" s="54">
        <v>1.6875</v>
      </c>
      <c r="DB72" s="54">
        <v>6.25</v>
      </c>
      <c r="DC72" s="649">
        <f t="shared" si="34"/>
        <v>5.65025</v>
      </c>
    </row>
    <row r="73" spans="1:107" ht="12.75">
      <c r="A73" s="24" t="s">
        <v>756</v>
      </c>
      <c r="B73" s="117" t="s">
        <v>1721</v>
      </c>
      <c r="C73" s="315" t="s">
        <v>1042</v>
      </c>
      <c r="D73" s="367">
        <v>62</v>
      </c>
      <c r="E73" s="119" t="s">
        <v>1160</v>
      </c>
      <c r="F73" s="15">
        <v>3</v>
      </c>
      <c r="G73" s="684">
        <v>7</v>
      </c>
      <c r="H73" s="17">
        <v>5</v>
      </c>
      <c r="I73" s="754">
        <v>3</v>
      </c>
      <c r="J73" s="186">
        <v>3</v>
      </c>
      <c r="K73" s="188">
        <v>2</v>
      </c>
      <c r="L73" s="871">
        <v>450</v>
      </c>
      <c r="M73" s="883">
        <v>800</v>
      </c>
      <c r="N73" s="106">
        <v>400</v>
      </c>
      <c r="O73" s="454">
        <v>40</v>
      </c>
      <c r="P73" s="531">
        <v>40</v>
      </c>
      <c r="Q73" s="340">
        <v>872</v>
      </c>
      <c r="R73" s="341">
        <v>320</v>
      </c>
      <c r="S73" s="358">
        <f t="shared" si="24"/>
        <v>663.2549999999999</v>
      </c>
      <c r="T73" s="352">
        <v>12070</v>
      </c>
      <c r="U73" s="359">
        <v>116000</v>
      </c>
      <c r="V73" s="360">
        <v>10000</v>
      </c>
      <c r="W73" s="289">
        <v>0.47</v>
      </c>
      <c r="X73" s="153">
        <v>1406</v>
      </c>
      <c r="Y73" s="46">
        <v>50</v>
      </c>
      <c r="Z73" s="48">
        <v>10</v>
      </c>
      <c r="AA73" s="48">
        <v>75.625</v>
      </c>
      <c r="AB73" s="50">
        <v>59.375</v>
      </c>
      <c r="AC73" s="345">
        <v>1125</v>
      </c>
      <c r="AD73" s="312">
        <v>1250</v>
      </c>
      <c r="AE73" s="369">
        <f t="shared" si="36"/>
        <v>0.9</v>
      </c>
      <c r="AF73" s="46">
        <v>0</v>
      </c>
      <c r="AG73" s="48">
        <v>50</v>
      </c>
      <c r="AH73" s="48">
        <v>77.5</v>
      </c>
      <c r="AI73" s="47">
        <v>50</v>
      </c>
      <c r="AJ73" s="5">
        <f t="shared" si="25"/>
        <v>3403</v>
      </c>
      <c r="AK73" s="103" t="str">
        <f t="shared" si="23"/>
        <v>A</v>
      </c>
      <c r="AL73" s="862">
        <v>1125</v>
      </c>
      <c r="AM73" s="459">
        <v>343.75</v>
      </c>
      <c r="AN73" s="295">
        <f t="shared" si="37"/>
        <v>3.272727272727273</v>
      </c>
      <c r="AO73" s="145">
        <v>140</v>
      </c>
      <c r="AP73" s="313" t="s">
        <v>466</v>
      </c>
      <c r="AQ73" s="370">
        <v>270</v>
      </c>
      <c r="AR73" s="33">
        <v>0</v>
      </c>
      <c r="AS73" s="34">
        <v>0</v>
      </c>
      <c r="AT73" s="34">
        <v>30</v>
      </c>
      <c r="AU73" s="73">
        <v>0</v>
      </c>
      <c r="AV73" s="371">
        <v>155</v>
      </c>
      <c r="AW73" s="143">
        <v>181</v>
      </c>
      <c r="AX73" s="33">
        <v>0</v>
      </c>
      <c r="AY73" s="34">
        <v>0</v>
      </c>
      <c r="AZ73" s="34">
        <v>0</v>
      </c>
      <c r="BA73" s="84">
        <v>0</v>
      </c>
      <c r="BB73" s="586">
        <v>3.75</v>
      </c>
      <c r="BC73" s="590">
        <v>1.25E-06</v>
      </c>
      <c r="BD73" s="588">
        <f t="shared" si="26"/>
        <v>46.60314830157415</v>
      </c>
      <c r="BE73" s="299"/>
      <c r="BF73" s="300"/>
      <c r="BG73" s="112"/>
      <c r="BH73" s="541"/>
      <c r="BI73" s="372">
        <v>2</v>
      </c>
      <c r="BJ73" s="346" t="s">
        <v>1401</v>
      </c>
      <c r="BK73" s="36" t="s">
        <v>1760</v>
      </c>
      <c r="BL73" s="303" t="s">
        <v>788</v>
      </c>
      <c r="BM73" s="86" t="s">
        <v>1692</v>
      </c>
      <c r="BN73" s="303" t="s">
        <v>1231</v>
      </c>
      <c r="BO73" s="86"/>
      <c r="BP73" s="1" t="s">
        <v>1693</v>
      </c>
      <c r="BR73" s="1">
        <v>262</v>
      </c>
      <c r="BS73" s="21">
        <v>11971</v>
      </c>
      <c r="BT73" s="605"/>
      <c r="BU73" s="600">
        <v>6.25</v>
      </c>
      <c r="BV73" s="601">
        <v>1.6</v>
      </c>
      <c r="BW73" s="329">
        <f t="shared" si="38"/>
        <v>320</v>
      </c>
      <c r="BX73" s="329">
        <f>IF($F73&gt;0,$BW73*$D$208,"")</f>
        <v>408</v>
      </c>
      <c r="BY73" s="329">
        <f>IF($F73&gt;1,$BX73*$D$209,"")</f>
        <v>520.1999999999999</v>
      </c>
      <c r="BZ73" s="329">
        <f>IF($F73&gt;2,$BY73*$D$210,"")</f>
        <v>663.2549999999999</v>
      </c>
      <c r="CA73" s="329">
        <f>IF($F73&gt;3,$BZ73*$D$211,"")</f>
      </c>
      <c r="CB73" s="329">
        <f>IF($F73&gt;4,$CA73*$D$212,"")</f>
      </c>
      <c r="CC73" s="329">
        <f>IF($F73&gt;5,$CB73*$D$213,"")</f>
      </c>
      <c r="CD73" s="329">
        <f>IF($F73&gt;6,$CC73*$D$214,"")</f>
      </c>
      <c r="CE73" s="485" t="s">
        <v>1396</v>
      </c>
      <c r="CF73" s="849" t="s">
        <v>515</v>
      </c>
      <c r="CG73" s="440" t="s">
        <v>882</v>
      </c>
      <c r="CH73" s="305">
        <v>15072684</v>
      </c>
      <c r="CI73" s="305">
        <f t="shared" si="39"/>
        <v>4521805.2</v>
      </c>
      <c r="CJ73" s="306">
        <f t="shared" si="40"/>
        <v>10550878.8</v>
      </c>
      <c r="CK73" s="307" t="e">
        <f>CJ73-#REF!</f>
        <v>#REF!</v>
      </c>
      <c r="CL73" s="592">
        <v>15072684</v>
      </c>
      <c r="CM73" s="21">
        <f t="shared" si="27"/>
        <v>1</v>
      </c>
      <c r="CN73" s="21">
        <f t="shared" si="28"/>
        <v>3.333333333333333</v>
      </c>
      <c r="CO73" s="54"/>
      <c r="CP73" s="625">
        <f t="shared" si="29"/>
        <v>195</v>
      </c>
      <c r="CQ73" s="626">
        <f t="shared" si="30"/>
        <v>177.5</v>
      </c>
      <c r="CR73" s="624" t="str">
        <f t="shared" si="31"/>
        <v>A</v>
      </c>
      <c r="CS73" s="634">
        <f t="shared" si="32"/>
        <v>181</v>
      </c>
      <c r="CT73" s="591">
        <f t="shared" si="35"/>
        <v>12070000</v>
      </c>
      <c r="CU73" s="591">
        <f t="shared" si="33"/>
        <v>226.25</v>
      </c>
      <c r="CV73" s="591">
        <v>15000</v>
      </c>
      <c r="CW73" s="54"/>
      <c r="CX73" s="54"/>
      <c r="CY73" s="54"/>
      <c r="CZ73" s="54"/>
      <c r="DA73" s="54">
        <v>1.6875</v>
      </c>
      <c r="DB73" s="54">
        <v>6.25</v>
      </c>
      <c r="DC73" s="649">
        <f t="shared" si="34"/>
        <v>5.672899999999999</v>
      </c>
    </row>
    <row r="74" spans="1:107" ht="12.75">
      <c r="A74" s="24" t="s">
        <v>1695</v>
      </c>
      <c r="B74" s="117" t="s">
        <v>1696</v>
      </c>
      <c r="C74" s="319" t="s">
        <v>99</v>
      </c>
      <c r="D74" s="367">
        <v>62</v>
      </c>
      <c r="E74" s="119" t="s">
        <v>1160</v>
      </c>
      <c r="F74" s="15">
        <v>3</v>
      </c>
      <c r="G74" s="684">
        <v>6</v>
      </c>
      <c r="H74" s="17">
        <v>6</v>
      </c>
      <c r="I74" s="755">
        <v>3</v>
      </c>
      <c r="J74" s="186">
        <v>3</v>
      </c>
      <c r="K74" s="188">
        <v>2</v>
      </c>
      <c r="L74" s="871">
        <v>400</v>
      </c>
      <c r="M74" s="883">
        <v>750</v>
      </c>
      <c r="N74" s="106">
        <v>400</v>
      </c>
      <c r="O74" s="454">
        <v>40</v>
      </c>
      <c r="P74" s="531">
        <v>40</v>
      </c>
      <c r="Q74" s="340">
        <v>872</v>
      </c>
      <c r="R74" s="341">
        <v>315</v>
      </c>
      <c r="S74" s="358">
        <f t="shared" si="24"/>
        <v>652.8916406249999</v>
      </c>
      <c r="T74" s="352">
        <v>11550</v>
      </c>
      <c r="U74" s="359">
        <v>85000</v>
      </c>
      <c r="V74" s="360">
        <v>10000</v>
      </c>
      <c r="W74" s="289">
        <v>0.42</v>
      </c>
      <c r="X74" s="153">
        <v>1181</v>
      </c>
      <c r="Y74" s="46">
        <v>85</v>
      </c>
      <c r="Z74" s="48">
        <v>10</v>
      </c>
      <c r="AA74" s="48">
        <v>25</v>
      </c>
      <c r="AB74" s="50">
        <v>59.375</v>
      </c>
      <c r="AC74" s="345">
        <v>1322</v>
      </c>
      <c r="AD74" s="312">
        <v>1250</v>
      </c>
      <c r="AE74" s="369">
        <f t="shared" si="36"/>
        <v>1.0576</v>
      </c>
      <c r="AF74" s="46">
        <v>62.5</v>
      </c>
      <c r="AG74" s="48">
        <v>50</v>
      </c>
      <c r="AH74" s="48">
        <v>40</v>
      </c>
      <c r="AI74" s="47">
        <v>50</v>
      </c>
      <c r="AJ74" s="5">
        <f t="shared" si="25"/>
        <v>3375</v>
      </c>
      <c r="AK74" s="103" t="str">
        <f t="shared" si="23"/>
        <v>S</v>
      </c>
      <c r="AL74" s="862">
        <v>1062</v>
      </c>
      <c r="AM74" s="459">
        <v>343.75</v>
      </c>
      <c r="AN74" s="295">
        <f t="shared" si="37"/>
        <v>3.0894545454545455</v>
      </c>
      <c r="AO74" s="145">
        <v>125</v>
      </c>
      <c r="AP74" s="313" t="s">
        <v>466</v>
      </c>
      <c r="AQ74" s="370">
        <v>303</v>
      </c>
      <c r="AR74" s="33">
        <v>0</v>
      </c>
      <c r="AS74" s="34">
        <v>0</v>
      </c>
      <c r="AT74" s="34">
        <v>0</v>
      </c>
      <c r="AU74" s="73">
        <v>28</v>
      </c>
      <c r="AV74" s="371">
        <v>127</v>
      </c>
      <c r="AW74" s="143">
        <v>209</v>
      </c>
      <c r="AX74" s="33">
        <v>0</v>
      </c>
      <c r="AY74" s="34">
        <v>0</v>
      </c>
      <c r="AZ74" s="34">
        <v>0</v>
      </c>
      <c r="BA74" s="84">
        <v>0</v>
      </c>
      <c r="BB74" s="586">
        <v>3.75</v>
      </c>
      <c r="BC74" s="590">
        <v>1.25E-06</v>
      </c>
      <c r="BD74" s="588">
        <f t="shared" si="26"/>
        <v>45.97402597402597</v>
      </c>
      <c r="BE74" s="299"/>
      <c r="BF74" s="300"/>
      <c r="BG74" s="112"/>
      <c r="BH74" s="541"/>
      <c r="BI74" s="372">
        <v>2</v>
      </c>
      <c r="BJ74" s="346" t="s">
        <v>1401</v>
      </c>
      <c r="BK74" s="36" t="s">
        <v>1760</v>
      </c>
      <c r="BL74" s="303" t="s">
        <v>577</v>
      </c>
      <c r="BM74" s="86" t="s">
        <v>268</v>
      </c>
      <c r="BN74" s="303" t="s">
        <v>1228</v>
      </c>
      <c r="BO74" s="86"/>
      <c r="BP74" s="1" t="s">
        <v>823</v>
      </c>
      <c r="BR74" s="1">
        <v>262</v>
      </c>
      <c r="BS74" s="21">
        <v>11961</v>
      </c>
      <c r="BT74" s="605"/>
      <c r="BU74" s="600">
        <v>7.5</v>
      </c>
      <c r="BV74" s="601">
        <v>1.6</v>
      </c>
      <c r="BW74" s="329">
        <f t="shared" si="38"/>
        <v>315</v>
      </c>
      <c r="BX74" s="329">
        <f>IF($F74&gt;0,$BW74*$D$208,"")</f>
        <v>401.625</v>
      </c>
      <c r="BY74" s="329">
        <f>IF($F74&gt;1,$BX74*$D$209,"")</f>
        <v>512.071875</v>
      </c>
      <c r="BZ74" s="329">
        <f>IF($F74&gt;2,$BY74*$D$210,"")</f>
        <v>652.8916406249999</v>
      </c>
      <c r="CA74" s="329">
        <f>IF($F74&gt;3,$BZ74*$D$211,"")</f>
      </c>
      <c r="CB74" s="329">
        <f>IF($F74&gt;4,$CA74*$D$212,"")</f>
      </c>
      <c r="CC74" s="329">
        <f>IF($F74&gt;5,$CB74*$D$213,"")</f>
      </c>
      <c r="CD74" s="329">
        <f>IF($F74&gt;6,$CC74*$D$214,"")</f>
      </c>
      <c r="CE74" s="485" t="s">
        <v>66</v>
      </c>
      <c r="CF74" s="849" t="s">
        <v>515</v>
      </c>
      <c r="CG74" s="440" t="s">
        <v>883</v>
      </c>
      <c r="CH74" s="305">
        <v>14988558</v>
      </c>
      <c r="CI74" s="305">
        <f t="shared" si="39"/>
        <v>4496567.399999999</v>
      </c>
      <c r="CJ74" s="306">
        <f t="shared" si="40"/>
        <v>10491990.600000001</v>
      </c>
      <c r="CK74" s="307" t="e">
        <f>CJ74-#REF!</f>
        <v>#REF!</v>
      </c>
      <c r="CL74" s="592">
        <v>14988558</v>
      </c>
      <c r="CM74" s="21">
        <f t="shared" si="27"/>
        <v>1</v>
      </c>
      <c r="CN74" s="21">
        <f t="shared" si="28"/>
        <v>3.333333333333334</v>
      </c>
      <c r="CO74" s="54"/>
      <c r="CP74" s="626">
        <f t="shared" si="29"/>
        <v>179.375</v>
      </c>
      <c r="CQ74" s="627">
        <f t="shared" si="30"/>
        <v>202.5</v>
      </c>
      <c r="CR74" s="624" t="str">
        <f t="shared" si="31"/>
        <v>S</v>
      </c>
      <c r="CS74" s="634">
        <f t="shared" si="32"/>
        <v>209</v>
      </c>
      <c r="CT74" s="591">
        <f t="shared" si="35"/>
        <v>11550000</v>
      </c>
      <c r="CU74" s="591">
        <f t="shared" si="33"/>
        <v>261.25</v>
      </c>
      <c r="CV74" s="591">
        <v>15000</v>
      </c>
      <c r="CW74" s="54"/>
      <c r="CX74" s="54"/>
      <c r="CY74" s="54"/>
      <c r="CZ74" s="54"/>
      <c r="DA74" s="54">
        <v>1.6875</v>
      </c>
      <c r="DB74" s="54">
        <v>6.25</v>
      </c>
      <c r="DC74" s="649">
        <f t="shared" si="34"/>
        <v>4.851</v>
      </c>
    </row>
    <row r="75" spans="1:107" ht="12.75">
      <c r="A75" s="24" t="s">
        <v>270</v>
      </c>
      <c r="B75" s="117" t="s">
        <v>1696</v>
      </c>
      <c r="C75" s="319" t="s">
        <v>99</v>
      </c>
      <c r="D75" s="367">
        <v>62</v>
      </c>
      <c r="E75" s="119" t="s">
        <v>1160</v>
      </c>
      <c r="F75" s="15">
        <v>4</v>
      </c>
      <c r="G75" s="801">
        <v>6</v>
      </c>
      <c r="H75" s="17">
        <v>4</v>
      </c>
      <c r="I75" s="323">
        <v>1</v>
      </c>
      <c r="J75" s="738">
        <v>3</v>
      </c>
      <c r="K75" s="188">
        <v>2</v>
      </c>
      <c r="L75" s="872">
        <v>450</v>
      </c>
      <c r="M75" s="883">
        <v>750</v>
      </c>
      <c r="N75" s="106">
        <v>400</v>
      </c>
      <c r="O75" s="454">
        <v>40</v>
      </c>
      <c r="P75" s="531">
        <v>40</v>
      </c>
      <c r="Q75" s="340">
        <v>872</v>
      </c>
      <c r="R75" s="341">
        <v>315</v>
      </c>
      <c r="S75" s="358">
        <f t="shared" si="24"/>
        <v>832.4368417968749</v>
      </c>
      <c r="T75" s="352">
        <v>11040</v>
      </c>
      <c r="U75" s="359">
        <v>85000</v>
      </c>
      <c r="V75" s="360">
        <v>10000</v>
      </c>
      <c r="W75" s="289">
        <v>0.44</v>
      </c>
      <c r="X75" s="153">
        <v>1069</v>
      </c>
      <c r="Y75" s="46">
        <v>80</v>
      </c>
      <c r="Z75" s="48">
        <v>10</v>
      </c>
      <c r="AA75" s="48">
        <v>25</v>
      </c>
      <c r="AB75" s="50">
        <v>51.25</v>
      </c>
      <c r="AC75" s="345">
        <v>1322</v>
      </c>
      <c r="AD75" s="312">
        <v>1250</v>
      </c>
      <c r="AE75" s="369">
        <f t="shared" si="36"/>
        <v>1.0576</v>
      </c>
      <c r="AF75" s="46">
        <v>50</v>
      </c>
      <c r="AG75" s="48">
        <v>50</v>
      </c>
      <c r="AH75" s="48">
        <v>40</v>
      </c>
      <c r="AI75" s="47">
        <v>40</v>
      </c>
      <c r="AJ75" s="5">
        <f t="shared" si="25"/>
        <v>3263</v>
      </c>
      <c r="AK75" s="103" t="str">
        <f t="shared" si="23"/>
        <v>S</v>
      </c>
      <c r="AL75" s="862">
        <v>1093</v>
      </c>
      <c r="AM75" s="459">
        <v>343.75</v>
      </c>
      <c r="AN75" s="295">
        <f t="shared" si="37"/>
        <v>3.1796363636363636</v>
      </c>
      <c r="AO75" s="145">
        <v>100</v>
      </c>
      <c r="AP75" s="313" t="s">
        <v>462</v>
      </c>
      <c r="AQ75" s="370">
        <v>220</v>
      </c>
      <c r="AR75" s="33">
        <v>0</v>
      </c>
      <c r="AS75" s="34">
        <v>0</v>
      </c>
      <c r="AT75" s="34">
        <v>0</v>
      </c>
      <c r="AU75" s="73">
        <v>24</v>
      </c>
      <c r="AV75" s="371">
        <v>132</v>
      </c>
      <c r="AW75" s="143">
        <v>192</v>
      </c>
      <c r="AX75" s="33">
        <v>0</v>
      </c>
      <c r="AY75" s="34">
        <v>0</v>
      </c>
      <c r="AZ75" s="34">
        <v>0</v>
      </c>
      <c r="BA75" s="84">
        <v>0</v>
      </c>
      <c r="BB75" s="586">
        <v>3.75</v>
      </c>
      <c r="BC75" s="590">
        <v>1.25E-06</v>
      </c>
      <c r="BD75" s="588">
        <f t="shared" si="26"/>
        <v>49.5018115942029</v>
      </c>
      <c r="BE75" s="299"/>
      <c r="BF75" s="300"/>
      <c r="BG75" s="112"/>
      <c r="BH75" s="541"/>
      <c r="BI75" s="372">
        <v>1</v>
      </c>
      <c r="BJ75" s="346" t="s">
        <v>1401</v>
      </c>
      <c r="BK75" s="36" t="s">
        <v>1346</v>
      </c>
      <c r="BL75" s="303" t="s">
        <v>1297</v>
      </c>
      <c r="BM75" s="86" t="s">
        <v>839</v>
      </c>
      <c r="BN75" s="303" t="s">
        <v>1172</v>
      </c>
      <c r="BO75" s="86"/>
      <c r="BP75" s="1" t="s">
        <v>982</v>
      </c>
      <c r="BR75" s="1">
        <v>262</v>
      </c>
      <c r="BS75" s="21">
        <v>11963</v>
      </c>
      <c r="BT75" s="605"/>
      <c r="BU75" s="600">
        <v>3.75</v>
      </c>
      <c r="BV75" s="601">
        <v>1.6</v>
      </c>
      <c r="BW75" s="329">
        <f t="shared" si="38"/>
        <v>315</v>
      </c>
      <c r="BX75" s="329">
        <f>IF($F75&gt;0,$BW75*$D$208,"")</f>
        <v>401.625</v>
      </c>
      <c r="BY75" s="329">
        <f>IF($F75&gt;1,$BX75*$D$209,"")</f>
        <v>512.071875</v>
      </c>
      <c r="BZ75" s="329">
        <f>IF($F75&gt;2,$BY75*$D$210,"")</f>
        <v>652.8916406249999</v>
      </c>
      <c r="CA75" s="329">
        <f>IF($F75&gt;3,$BZ75*$D$211,"")</f>
        <v>832.4368417968749</v>
      </c>
      <c r="CB75" s="329">
        <f>IF($F75&gt;4,$CA75*$D$212,"")</f>
      </c>
      <c r="CC75" s="329">
        <f>IF($F75&gt;5,$CB75*$D$213,"")</f>
      </c>
      <c r="CD75" s="329">
        <f>IF($F75&gt;6,$CC75*$D$214,"")</f>
      </c>
      <c r="CE75" s="485" t="s">
        <v>1451</v>
      </c>
      <c r="CF75" s="849" t="s">
        <v>515</v>
      </c>
      <c r="CG75" s="440" t="s">
        <v>884</v>
      </c>
      <c r="CH75" s="305">
        <v>14990532</v>
      </c>
      <c r="CI75" s="305">
        <f t="shared" si="39"/>
        <v>4497159.6</v>
      </c>
      <c r="CJ75" s="306">
        <f t="shared" si="40"/>
        <v>10493372.4</v>
      </c>
      <c r="CK75" s="307" t="e">
        <f>CJ75-#REF!</f>
        <v>#REF!</v>
      </c>
      <c r="CL75" s="592">
        <v>14990532</v>
      </c>
      <c r="CM75" s="21">
        <f t="shared" si="27"/>
        <v>1</v>
      </c>
      <c r="CN75" s="21">
        <f t="shared" si="28"/>
        <v>3.3333333333333335</v>
      </c>
      <c r="CO75" s="54"/>
      <c r="CP75" s="626">
        <f t="shared" si="29"/>
        <v>166.25</v>
      </c>
      <c r="CQ75" s="627">
        <f t="shared" si="30"/>
        <v>180</v>
      </c>
      <c r="CR75" s="624" t="str">
        <f t="shared" si="31"/>
        <v>S</v>
      </c>
      <c r="CS75" s="634">
        <f t="shared" si="32"/>
        <v>192</v>
      </c>
      <c r="CT75" s="591">
        <f t="shared" si="35"/>
        <v>11040000</v>
      </c>
      <c r="CU75" s="591">
        <f t="shared" si="33"/>
        <v>240</v>
      </c>
      <c r="CV75" s="591">
        <v>15000</v>
      </c>
      <c r="CW75" s="54"/>
      <c r="CX75" s="54"/>
      <c r="CY75" s="54"/>
      <c r="CZ75" s="54"/>
      <c r="DA75" s="54">
        <v>1.6875</v>
      </c>
      <c r="DB75" s="54">
        <v>6.25</v>
      </c>
      <c r="DC75" s="649">
        <f t="shared" si="34"/>
        <v>4.857600000000001</v>
      </c>
    </row>
    <row r="76" spans="1:107" ht="12.75">
      <c r="A76" s="24" t="s">
        <v>159</v>
      </c>
      <c r="B76" s="117" t="s">
        <v>1294</v>
      </c>
      <c r="C76" s="308" t="s">
        <v>827</v>
      </c>
      <c r="D76" s="367">
        <v>61</v>
      </c>
      <c r="E76" s="119" t="s">
        <v>523</v>
      </c>
      <c r="F76" s="15">
        <v>5</v>
      </c>
      <c r="G76" s="18">
        <v>2</v>
      </c>
      <c r="H76" s="802">
        <v>6</v>
      </c>
      <c r="I76" s="16">
        <v>0</v>
      </c>
      <c r="J76" s="187">
        <v>3</v>
      </c>
      <c r="K76" s="188">
        <v>2</v>
      </c>
      <c r="L76" s="868">
        <v>310</v>
      </c>
      <c r="M76" s="884">
        <v>1075</v>
      </c>
      <c r="N76" s="106">
        <v>400</v>
      </c>
      <c r="O76" s="455">
        <v>25</v>
      </c>
      <c r="P76" s="810">
        <v>25</v>
      </c>
      <c r="Q76" s="340">
        <v>2004</v>
      </c>
      <c r="R76" s="98">
        <v>465</v>
      </c>
      <c r="S76" s="326">
        <f>MAX($BW76:$CD76)</f>
        <v>1566.7650558105468</v>
      </c>
      <c r="T76" s="342">
        <v>11980</v>
      </c>
      <c r="U76" s="343">
        <v>115000</v>
      </c>
      <c r="V76" s="344">
        <v>10000</v>
      </c>
      <c r="W76" s="289">
        <v>0.425</v>
      </c>
      <c r="X76" s="340">
        <v>2109</v>
      </c>
      <c r="Y76" s="43">
        <v>50</v>
      </c>
      <c r="Z76" s="44">
        <v>80</v>
      </c>
      <c r="AA76" s="44">
        <v>62.5</v>
      </c>
      <c r="AB76" s="49">
        <v>35</v>
      </c>
      <c r="AC76" s="345">
        <v>1055</v>
      </c>
      <c r="AD76" s="312">
        <v>1250</v>
      </c>
      <c r="AE76" s="292">
        <f t="shared" si="36"/>
        <v>0.844</v>
      </c>
      <c r="AF76" s="43">
        <v>0</v>
      </c>
      <c r="AG76" s="44">
        <v>87.5</v>
      </c>
      <c r="AH76" s="44">
        <v>70</v>
      </c>
      <c r="AI76" s="45">
        <v>20</v>
      </c>
      <c r="AJ76" s="5">
        <f t="shared" si="25"/>
        <v>5168</v>
      </c>
      <c r="AK76" s="103" t="str">
        <f t="shared" si="23"/>
        <v>A</v>
      </c>
      <c r="AL76" s="862">
        <v>1500</v>
      </c>
      <c r="AM76" s="458">
        <v>335</v>
      </c>
      <c r="AN76" s="295">
        <f>AL76/AM76</f>
        <v>4.477611940298507</v>
      </c>
      <c r="AO76" s="145">
        <v>65</v>
      </c>
      <c r="AP76" s="85" t="s">
        <v>466</v>
      </c>
      <c r="AQ76" s="297">
        <v>385</v>
      </c>
      <c r="AR76" s="33">
        <v>19</v>
      </c>
      <c r="AS76" s="34">
        <v>0</v>
      </c>
      <c r="AT76" s="34">
        <v>0</v>
      </c>
      <c r="AU76" s="73">
        <v>0</v>
      </c>
      <c r="AV76" s="39">
        <v>70</v>
      </c>
      <c r="AW76" s="143">
        <v>209</v>
      </c>
      <c r="AX76" s="33">
        <v>9</v>
      </c>
      <c r="AY76" s="34">
        <v>0</v>
      </c>
      <c r="AZ76" s="34">
        <v>0</v>
      </c>
      <c r="BA76" s="84">
        <v>0</v>
      </c>
      <c r="BB76" s="586">
        <v>3</v>
      </c>
      <c r="BC76" s="590">
        <v>8.13E-07</v>
      </c>
      <c r="BD76" s="588">
        <f t="shared" si="26"/>
        <v>96.25513617406625</v>
      </c>
      <c r="BE76" s="299"/>
      <c r="BF76" s="300"/>
      <c r="BG76" s="112"/>
      <c r="BH76" s="541"/>
      <c r="BI76" s="301"/>
      <c r="BJ76" s="346" t="s">
        <v>1401</v>
      </c>
      <c r="BK76" s="13" t="s">
        <v>160</v>
      </c>
      <c r="BL76" s="303" t="s">
        <v>292</v>
      </c>
      <c r="BM76" s="86" t="s">
        <v>1193</v>
      </c>
      <c r="BN76" s="303" t="s">
        <v>1079</v>
      </c>
      <c r="BO76" s="86"/>
      <c r="BP76" s="1" t="s">
        <v>1194</v>
      </c>
      <c r="BR76" s="1">
        <v>183</v>
      </c>
      <c r="BS76" s="21">
        <v>11987</v>
      </c>
      <c r="BT76" s="605" t="s">
        <v>214</v>
      </c>
      <c r="BU76" s="610">
        <v>3</v>
      </c>
      <c r="BV76" s="601">
        <v>1</v>
      </c>
      <c r="BW76" s="329">
        <f t="shared" si="38"/>
        <v>465</v>
      </c>
      <c r="BX76" s="329">
        <f>IF($F76&gt;0,$BW76*$D$208,"")</f>
        <v>592.875</v>
      </c>
      <c r="BY76" s="329">
        <f>IF($F76&gt;1,$BX76*$D$209,"")</f>
        <v>755.915625</v>
      </c>
      <c r="BZ76" s="329">
        <f>IF($F76&gt;2,$BY76*$D$210,"")</f>
        <v>963.792421875</v>
      </c>
      <c r="CA76" s="329">
        <f>IF($F76&gt;3,$BZ76*$D$211,"")</f>
        <v>1228.835337890625</v>
      </c>
      <c r="CB76" s="329">
        <f>IF($F76&gt;4,$CA76*$D$212,"")</f>
        <v>1566.7650558105468</v>
      </c>
      <c r="CC76" s="329">
        <f>IF($F76&gt;5,$CB76*$D$213,"")</f>
      </c>
      <c r="CD76" s="329">
        <f>IF($F76&gt;6,$CC76*$D$214,"")</f>
      </c>
      <c r="CE76" s="485" t="s">
        <v>672</v>
      </c>
      <c r="CF76" s="854" t="s">
        <v>584</v>
      </c>
      <c r="CG76" s="440" t="s">
        <v>37</v>
      </c>
      <c r="CH76" s="305">
        <v>12778718</v>
      </c>
      <c r="CI76" s="305">
        <f t="shared" si="39"/>
        <v>3833615.4</v>
      </c>
      <c r="CJ76" s="306">
        <f t="shared" si="40"/>
        <v>8945102.6</v>
      </c>
      <c r="CK76" s="307" t="e">
        <f>CJ76-#REF!</f>
        <v>#REF!</v>
      </c>
      <c r="CL76" s="592">
        <v>12567518</v>
      </c>
      <c r="CM76" s="21">
        <f t="shared" si="27"/>
        <v>0.9834725204828841</v>
      </c>
      <c r="CN76" s="21">
        <f t="shared" si="28"/>
        <v>3.2782417349429473</v>
      </c>
      <c r="CO76" s="54"/>
      <c r="CP76" s="625">
        <f t="shared" si="29"/>
        <v>227.5</v>
      </c>
      <c r="CQ76" s="626">
        <f t="shared" si="30"/>
        <v>177.5</v>
      </c>
      <c r="CR76" s="624" t="str">
        <f t="shared" si="31"/>
        <v>A</v>
      </c>
      <c r="CS76" s="634">
        <f t="shared" si="32"/>
        <v>209</v>
      </c>
      <c r="CT76" s="591">
        <f t="shared" si="35"/>
        <v>11980000</v>
      </c>
      <c r="CU76" s="591">
        <f t="shared" si="33"/>
        <v>261.25</v>
      </c>
      <c r="CV76" s="591">
        <v>15000</v>
      </c>
      <c r="CW76" s="54"/>
      <c r="CX76" s="54"/>
      <c r="CY76" s="54"/>
      <c r="CZ76" s="54"/>
      <c r="DA76" s="54">
        <v>1.6875</v>
      </c>
      <c r="DB76" s="54">
        <v>6.25</v>
      </c>
      <c r="DC76" s="649">
        <f t="shared" si="34"/>
        <v>5.0915</v>
      </c>
    </row>
    <row r="77" spans="1:107" ht="12.75">
      <c r="A77" s="24" t="s">
        <v>1196</v>
      </c>
      <c r="B77" s="117" t="s">
        <v>1197</v>
      </c>
      <c r="C77" s="636" t="s">
        <v>865</v>
      </c>
      <c r="D77" s="367">
        <v>61</v>
      </c>
      <c r="E77" s="119" t="s">
        <v>523</v>
      </c>
      <c r="F77" s="15">
        <v>2</v>
      </c>
      <c r="G77" s="18">
        <v>5</v>
      </c>
      <c r="H77" s="683">
        <v>6</v>
      </c>
      <c r="I77" s="16">
        <v>2</v>
      </c>
      <c r="J77" s="187">
        <v>1</v>
      </c>
      <c r="K77" s="188">
        <v>2</v>
      </c>
      <c r="L77" s="868">
        <v>510</v>
      </c>
      <c r="M77" s="884">
        <v>825</v>
      </c>
      <c r="N77" s="106">
        <v>400</v>
      </c>
      <c r="O77" s="455">
        <v>25</v>
      </c>
      <c r="P77" s="532">
        <v>25</v>
      </c>
      <c r="Q77" s="340">
        <v>1287</v>
      </c>
      <c r="R77" s="98">
        <v>485</v>
      </c>
      <c r="S77" s="326">
        <f>MAX($BW77:$CD77)</f>
        <v>788.4281249999999</v>
      </c>
      <c r="T77" s="342">
        <v>13130</v>
      </c>
      <c r="U77" s="343">
        <v>107000</v>
      </c>
      <c r="V77" s="344">
        <v>10000</v>
      </c>
      <c r="W77" s="289">
        <v>0.355</v>
      </c>
      <c r="X77" s="340">
        <v>1125</v>
      </c>
      <c r="Y77" s="43">
        <v>50</v>
      </c>
      <c r="Z77" s="44">
        <v>10</v>
      </c>
      <c r="AA77" s="44">
        <v>62.5</v>
      </c>
      <c r="AB77" s="49">
        <v>86.25</v>
      </c>
      <c r="AC77" s="345">
        <v>2109</v>
      </c>
      <c r="AD77" s="312">
        <v>1250</v>
      </c>
      <c r="AE77" s="292">
        <f t="shared" si="36"/>
        <v>1.6872</v>
      </c>
      <c r="AF77" s="43">
        <v>0</v>
      </c>
      <c r="AG77" s="44">
        <v>50</v>
      </c>
      <c r="AH77" s="44">
        <v>70</v>
      </c>
      <c r="AI77" s="45">
        <v>80</v>
      </c>
      <c r="AJ77" s="5">
        <f t="shared" si="25"/>
        <v>4521</v>
      </c>
      <c r="AK77" s="103" t="str">
        <f t="shared" si="23"/>
        <v>S</v>
      </c>
      <c r="AL77" s="862">
        <v>1375</v>
      </c>
      <c r="AM77" s="458">
        <v>301.25</v>
      </c>
      <c r="AN77" s="295">
        <f>AL77/AM77</f>
        <v>4.564315352697095</v>
      </c>
      <c r="AO77" s="145">
        <v>80</v>
      </c>
      <c r="AP77" s="85" t="s">
        <v>466</v>
      </c>
      <c r="AQ77" s="297">
        <v>350</v>
      </c>
      <c r="AR77" s="33">
        <v>0</v>
      </c>
      <c r="AS77" s="34">
        <v>22</v>
      </c>
      <c r="AT77" s="34">
        <v>0</v>
      </c>
      <c r="AU77" s="73">
        <v>0</v>
      </c>
      <c r="AV77" s="39">
        <v>90</v>
      </c>
      <c r="AW77" s="143">
        <v>192</v>
      </c>
      <c r="AX77" s="33">
        <v>0</v>
      </c>
      <c r="AY77" s="34">
        <v>8</v>
      </c>
      <c r="AZ77" s="34">
        <v>0</v>
      </c>
      <c r="BA77" s="84">
        <v>0</v>
      </c>
      <c r="BB77" s="586">
        <v>3</v>
      </c>
      <c r="BC77" s="590">
        <v>8.13E-07</v>
      </c>
      <c r="BD77" s="588">
        <f t="shared" si="26"/>
        <v>80.50585075538493</v>
      </c>
      <c r="BE77" s="299"/>
      <c r="BF77" s="300"/>
      <c r="BG77" s="112"/>
      <c r="BH77" s="541"/>
      <c r="BI77" s="301"/>
      <c r="BJ77" s="346" t="s">
        <v>1401</v>
      </c>
      <c r="BK77" s="13" t="s">
        <v>160</v>
      </c>
      <c r="BL77" s="303" t="s">
        <v>1125</v>
      </c>
      <c r="BM77" s="86" t="s">
        <v>1493</v>
      </c>
      <c r="BN77" s="303" t="s">
        <v>1229</v>
      </c>
      <c r="BO77" s="86"/>
      <c r="BP77" s="1" t="s">
        <v>1494</v>
      </c>
      <c r="BR77" s="1">
        <v>443</v>
      </c>
      <c r="BS77" s="21">
        <v>11985</v>
      </c>
      <c r="BT77" s="605" t="s">
        <v>214</v>
      </c>
      <c r="BU77" s="610">
        <v>3</v>
      </c>
      <c r="BV77" s="601">
        <v>1</v>
      </c>
      <c r="BW77" s="329">
        <f t="shared" si="38"/>
        <v>485</v>
      </c>
      <c r="BX77" s="329">
        <f>IF($F77&gt;0,$BW77*$D$208,"")</f>
        <v>618.375</v>
      </c>
      <c r="BY77" s="329">
        <f>IF($F77&gt;1,$BX77*$D$209,"")</f>
        <v>788.4281249999999</v>
      </c>
      <c r="BZ77" s="329">
        <f>IF($F77&gt;2,$BY77*$D$210,"")</f>
      </c>
      <c r="CA77" s="329">
        <f>IF($F77&gt;3,$BZ77*$D$211,"")</f>
      </c>
      <c r="CB77" s="329">
        <f>IF($F77&gt;4,$CA77*$D$212,"")</f>
      </c>
      <c r="CC77" s="329">
        <f>IF($F77&gt;5,$CB77*$D$213,"")</f>
      </c>
      <c r="CD77" s="329">
        <f>IF($F77&gt;6,$CC77*$D$214,"")</f>
      </c>
      <c r="CE77" s="485" t="s">
        <v>1003</v>
      </c>
      <c r="CF77" s="854" t="s">
        <v>584</v>
      </c>
      <c r="CG77" s="440" t="s">
        <v>38</v>
      </c>
      <c r="CH77" s="305">
        <v>13551304</v>
      </c>
      <c r="CI77" s="305">
        <f t="shared" si="39"/>
        <v>4065391.1999999997</v>
      </c>
      <c r="CJ77" s="306">
        <f t="shared" si="40"/>
        <v>9485912.8</v>
      </c>
      <c r="CK77" s="307" t="e">
        <f>CJ77-#REF!</f>
        <v>#REF!</v>
      </c>
      <c r="CL77" s="592">
        <v>13340104</v>
      </c>
      <c r="CM77" s="21">
        <f t="shared" si="27"/>
        <v>0.9844147839942193</v>
      </c>
      <c r="CN77" s="21">
        <f t="shared" si="28"/>
        <v>3.2813826133140647</v>
      </c>
      <c r="CO77" s="54"/>
      <c r="CP77" s="622">
        <f t="shared" si="29"/>
        <v>208.75</v>
      </c>
      <c r="CQ77" s="623">
        <f t="shared" si="30"/>
        <v>200</v>
      </c>
      <c r="CR77" s="624" t="str">
        <f t="shared" si="31"/>
        <v>S</v>
      </c>
      <c r="CS77" s="634">
        <f t="shared" si="32"/>
        <v>192</v>
      </c>
      <c r="CT77" s="591">
        <f t="shared" si="35"/>
        <v>13130000</v>
      </c>
      <c r="CU77" s="591">
        <f t="shared" si="33"/>
        <v>240</v>
      </c>
      <c r="CV77" s="591">
        <v>15000</v>
      </c>
      <c r="CW77" s="54"/>
      <c r="CX77" s="54"/>
      <c r="CY77" s="54"/>
      <c r="CZ77" s="54"/>
      <c r="DA77" s="54">
        <v>1.6875</v>
      </c>
      <c r="DB77" s="54">
        <v>6.25</v>
      </c>
      <c r="DC77" s="649">
        <f t="shared" si="34"/>
        <v>4.661149999999999</v>
      </c>
    </row>
    <row r="78" spans="1:107" ht="12.75">
      <c r="A78" s="24" t="s">
        <v>111</v>
      </c>
      <c r="B78" s="117" t="s">
        <v>1496</v>
      </c>
      <c r="C78" s="315" t="s">
        <v>1042</v>
      </c>
      <c r="D78" s="367">
        <v>61</v>
      </c>
      <c r="E78" s="119" t="s">
        <v>523</v>
      </c>
      <c r="F78" s="15">
        <v>4</v>
      </c>
      <c r="G78" s="800">
        <v>5</v>
      </c>
      <c r="H78" s="683">
        <v>4</v>
      </c>
      <c r="I78" s="16">
        <v>0</v>
      </c>
      <c r="J78" s="187">
        <v>2</v>
      </c>
      <c r="K78" s="188">
        <v>2</v>
      </c>
      <c r="L78" s="868">
        <v>370</v>
      </c>
      <c r="M78" s="884">
        <v>850</v>
      </c>
      <c r="N78" s="106">
        <v>400</v>
      </c>
      <c r="O78" s="455">
        <v>50</v>
      </c>
      <c r="P78" s="532">
        <v>50</v>
      </c>
      <c r="Q78" s="340">
        <v>2285</v>
      </c>
      <c r="R78" s="98">
        <v>600</v>
      </c>
      <c r="S78" s="326">
        <f>MAX($BW78:$CD78)</f>
        <v>1585.5939843749998</v>
      </c>
      <c r="T78" s="342">
        <v>13160</v>
      </c>
      <c r="U78" s="343">
        <v>113000</v>
      </c>
      <c r="V78" s="344">
        <v>10000</v>
      </c>
      <c r="W78" s="289">
        <v>0.43</v>
      </c>
      <c r="X78" s="340">
        <v>1758</v>
      </c>
      <c r="Y78" s="43">
        <v>50</v>
      </c>
      <c r="Z78" s="44">
        <v>10</v>
      </c>
      <c r="AA78" s="44">
        <v>83.75</v>
      </c>
      <c r="AB78" s="49">
        <v>67.5</v>
      </c>
      <c r="AC78" s="345">
        <v>1280</v>
      </c>
      <c r="AD78" s="312">
        <v>1250</v>
      </c>
      <c r="AE78" s="292">
        <f t="shared" si="36"/>
        <v>1.024</v>
      </c>
      <c r="AF78" s="43">
        <v>0</v>
      </c>
      <c r="AG78" s="44">
        <v>50</v>
      </c>
      <c r="AH78" s="44">
        <v>85</v>
      </c>
      <c r="AI78" s="45">
        <v>60</v>
      </c>
      <c r="AJ78" s="5">
        <f t="shared" si="25"/>
        <v>5323</v>
      </c>
      <c r="AK78" s="103" t="str">
        <f t="shared" si="23"/>
        <v>A</v>
      </c>
      <c r="AL78" s="862">
        <v>1375</v>
      </c>
      <c r="AM78" s="458">
        <v>306.9</v>
      </c>
      <c r="AN78" s="295">
        <f>AL78/AM78</f>
        <v>4.480286738351255</v>
      </c>
      <c r="AO78" s="145">
        <v>70</v>
      </c>
      <c r="AP78" s="85" t="s">
        <v>466</v>
      </c>
      <c r="AQ78" s="297">
        <v>365</v>
      </c>
      <c r="AR78" s="33">
        <v>0</v>
      </c>
      <c r="AS78" s="34">
        <v>0</v>
      </c>
      <c r="AT78" s="34">
        <v>20</v>
      </c>
      <c r="AU78" s="73">
        <v>0</v>
      </c>
      <c r="AV78" s="39">
        <v>80</v>
      </c>
      <c r="AW78" s="143">
        <v>214</v>
      </c>
      <c r="AX78" s="33">
        <v>0</v>
      </c>
      <c r="AY78" s="34">
        <v>0</v>
      </c>
      <c r="AZ78" s="34">
        <v>9</v>
      </c>
      <c r="BA78" s="84">
        <v>0</v>
      </c>
      <c r="BB78" s="586">
        <v>3</v>
      </c>
      <c r="BC78" s="590">
        <v>8.13E-07</v>
      </c>
      <c r="BD78" s="588">
        <f t="shared" si="26"/>
        <v>80.3223267794988</v>
      </c>
      <c r="BE78" s="299"/>
      <c r="BF78" s="300"/>
      <c r="BG78" s="112"/>
      <c r="BH78" s="541"/>
      <c r="BI78" s="301"/>
      <c r="BJ78" s="346" t="s">
        <v>1401</v>
      </c>
      <c r="BK78" s="13" t="s">
        <v>160</v>
      </c>
      <c r="BL78" s="303" t="s">
        <v>1473</v>
      </c>
      <c r="BM78" s="86" t="s">
        <v>1550</v>
      </c>
      <c r="BN78" s="303" t="s">
        <v>1231</v>
      </c>
      <c r="BO78" s="86"/>
      <c r="BP78" s="1" t="s">
        <v>1551</v>
      </c>
      <c r="BR78" s="1">
        <v>492</v>
      </c>
      <c r="BS78" s="21">
        <v>11989</v>
      </c>
      <c r="BT78" s="605" t="s">
        <v>214</v>
      </c>
      <c r="BU78" s="610">
        <v>2</v>
      </c>
      <c r="BV78" s="601">
        <v>2</v>
      </c>
      <c r="BW78" s="329">
        <f t="shared" si="38"/>
        <v>600</v>
      </c>
      <c r="BX78" s="329">
        <f>IF($F78&gt;0,$BW78*$D$208,"")</f>
        <v>765</v>
      </c>
      <c r="BY78" s="329">
        <f>IF($F78&gt;1,$BX78*$D$209,"")</f>
        <v>975.3749999999999</v>
      </c>
      <c r="BZ78" s="329">
        <f>IF($F78&gt;2,$BY78*$D$210,"")</f>
        <v>1243.6031249999999</v>
      </c>
      <c r="CA78" s="329">
        <f>IF($F78&gt;3,$BZ78*$D$211,"")</f>
        <v>1585.5939843749998</v>
      </c>
      <c r="CB78" s="329">
        <f>IF($F78&gt;4,$CA78*$D$212,"")</f>
      </c>
      <c r="CC78" s="329">
        <f>IF($F78&gt;5,$CB78*$D$213,"")</f>
      </c>
      <c r="CD78" s="329">
        <f>IF($F78&gt;6,$CC78*$D$214,"")</f>
      </c>
      <c r="CE78" s="485" t="s">
        <v>644</v>
      </c>
      <c r="CF78" s="854" t="s">
        <v>584</v>
      </c>
      <c r="CG78" s="440" t="s">
        <v>147</v>
      </c>
      <c r="CH78" s="305">
        <v>13107246</v>
      </c>
      <c r="CI78" s="305">
        <f t="shared" si="39"/>
        <v>3932173.8</v>
      </c>
      <c r="CJ78" s="306">
        <f t="shared" si="40"/>
        <v>9175072.2</v>
      </c>
      <c r="CK78" s="307" t="e">
        <f>CJ78-#REF!</f>
        <v>#REF!</v>
      </c>
      <c r="CL78" s="592">
        <v>12691246</v>
      </c>
      <c r="CM78" s="21">
        <f t="shared" si="27"/>
        <v>0.968261830135789</v>
      </c>
      <c r="CN78" s="21">
        <f t="shared" si="28"/>
        <v>3.2275394337859638</v>
      </c>
      <c r="CO78" s="54"/>
      <c r="CP78" s="625">
        <f t="shared" si="29"/>
        <v>211.25</v>
      </c>
      <c r="CQ78" s="626">
        <f t="shared" si="30"/>
        <v>195</v>
      </c>
      <c r="CR78" s="624" t="str">
        <f t="shared" si="31"/>
        <v>A</v>
      </c>
      <c r="CS78" s="634">
        <f t="shared" si="32"/>
        <v>214</v>
      </c>
      <c r="CT78" s="591">
        <f t="shared" si="35"/>
        <v>13160000</v>
      </c>
      <c r="CU78" s="591">
        <f t="shared" si="33"/>
        <v>267.5</v>
      </c>
      <c r="CV78" s="591">
        <v>15000</v>
      </c>
      <c r="CW78" s="54"/>
      <c r="CX78" s="54"/>
      <c r="CY78" s="54"/>
      <c r="CZ78" s="54"/>
      <c r="DA78" s="54">
        <v>1.6875</v>
      </c>
      <c r="DB78" s="54">
        <v>6.25</v>
      </c>
      <c r="DC78" s="649">
        <f t="shared" si="34"/>
        <v>5.6588</v>
      </c>
    </row>
    <row r="79" spans="1:107" ht="12.75">
      <c r="A79" s="24" t="s">
        <v>1553</v>
      </c>
      <c r="B79" s="117" t="s">
        <v>1554</v>
      </c>
      <c r="C79" s="319" t="s">
        <v>99</v>
      </c>
      <c r="D79" s="367">
        <v>61</v>
      </c>
      <c r="E79" s="119" t="s">
        <v>523</v>
      </c>
      <c r="F79" s="15">
        <v>4</v>
      </c>
      <c r="G79" s="684">
        <v>5</v>
      </c>
      <c r="H79" s="803">
        <v>4</v>
      </c>
      <c r="I79" s="16">
        <v>1</v>
      </c>
      <c r="J79" s="187">
        <v>2</v>
      </c>
      <c r="K79" s="188">
        <v>2</v>
      </c>
      <c r="L79" s="868">
        <v>495</v>
      </c>
      <c r="M79" s="884">
        <v>550</v>
      </c>
      <c r="N79" s="106">
        <v>400</v>
      </c>
      <c r="O79" s="455">
        <v>45</v>
      </c>
      <c r="P79" s="532">
        <v>45</v>
      </c>
      <c r="Q79" s="340">
        <v>1434</v>
      </c>
      <c r="R79" s="98">
        <v>440</v>
      </c>
      <c r="S79" s="326">
        <f>MAX($BW79:$CD79)</f>
        <v>1162.768921875</v>
      </c>
      <c r="T79" s="342">
        <v>13090</v>
      </c>
      <c r="U79" s="343">
        <v>89000</v>
      </c>
      <c r="V79" s="344">
        <v>10000</v>
      </c>
      <c r="W79" s="289">
        <v>0.385</v>
      </c>
      <c r="X79" s="340">
        <v>1681</v>
      </c>
      <c r="Y79" s="43">
        <v>90</v>
      </c>
      <c r="Z79" s="44">
        <v>10</v>
      </c>
      <c r="AA79" s="44">
        <v>25</v>
      </c>
      <c r="AB79" s="49">
        <v>67.5</v>
      </c>
      <c r="AC79" s="345">
        <v>1618</v>
      </c>
      <c r="AD79" s="312">
        <v>1250</v>
      </c>
      <c r="AE79" s="292">
        <f t="shared" si="36"/>
        <v>1.2944</v>
      </c>
      <c r="AF79" s="43">
        <v>75</v>
      </c>
      <c r="AG79" s="44">
        <v>50</v>
      </c>
      <c r="AH79" s="44">
        <v>40</v>
      </c>
      <c r="AI79" s="45">
        <v>60</v>
      </c>
      <c r="AJ79" s="5">
        <f t="shared" si="25"/>
        <v>4733</v>
      </c>
      <c r="AK79" s="103" t="str">
        <f t="shared" si="23"/>
        <v>~</v>
      </c>
      <c r="AL79" s="862">
        <v>1250</v>
      </c>
      <c r="AM79" s="458">
        <v>278.75</v>
      </c>
      <c r="AN79" s="295">
        <f>AL79/AM79</f>
        <v>4.484304932735426</v>
      </c>
      <c r="AO79" s="145">
        <v>60</v>
      </c>
      <c r="AP79" s="85" t="s">
        <v>466</v>
      </c>
      <c r="AQ79" s="297">
        <v>400</v>
      </c>
      <c r="AR79" s="33">
        <v>0</v>
      </c>
      <c r="AS79" s="34">
        <v>0</v>
      </c>
      <c r="AT79" s="34">
        <v>0</v>
      </c>
      <c r="AU79" s="73">
        <v>17</v>
      </c>
      <c r="AV79" s="39">
        <v>65</v>
      </c>
      <c r="AW79" s="143">
        <v>253</v>
      </c>
      <c r="AX79" s="33">
        <v>0</v>
      </c>
      <c r="AY79" s="34">
        <v>0</v>
      </c>
      <c r="AZ79" s="34">
        <v>0</v>
      </c>
      <c r="BA79" s="84">
        <v>9</v>
      </c>
      <c r="BB79" s="586">
        <v>3</v>
      </c>
      <c r="BC79" s="590">
        <v>8.13E-07</v>
      </c>
      <c r="BD79" s="588">
        <f t="shared" si="26"/>
        <v>73.41077994431586</v>
      </c>
      <c r="BE79" s="299"/>
      <c r="BF79" s="300"/>
      <c r="BG79" s="112"/>
      <c r="BH79" s="541"/>
      <c r="BI79" s="301"/>
      <c r="BJ79" s="346" t="s">
        <v>1401</v>
      </c>
      <c r="BK79" s="13" t="s">
        <v>160</v>
      </c>
      <c r="BL79" s="303" t="s">
        <v>293</v>
      </c>
      <c r="BM79" s="86" t="s">
        <v>1157</v>
      </c>
      <c r="BN79" s="303" t="s">
        <v>1172</v>
      </c>
      <c r="BO79" s="86"/>
      <c r="BP79" s="1" t="s">
        <v>1158</v>
      </c>
      <c r="BR79" s="1">
        <v>268</v>
      </c>
      <c r="BS79" s="21">
        <v>11978</v>
      </c>
      <c r="BT79" s="605" t="s">
        <v>214</v>
      </c>
      <c r="BU79" s="610">
        <v>3</v>
      </c>
      <c r="BV79" s="601">
        <v>1.8</v>
      </c>
      <c r="BW79" s="329">
        <f t="shared" si="38"/>
        <v>440</v>
      </c>
      <c r="BX79" s="329">
        <f>IF($F79&gt;0,$BW79*$D$208,"")</f>
        <v>561</v>
      </c>
      <c r="BY79" s="329">
        <f>IF($F79&gt;1,$BX79*$D$209,"")</f>
        <v>715.275</v>
      </c>
      <c r="BZ79" s="329">
        <f>IF($F79&gt;2,$BY79*$D$210,"")</f>
        <v>911.9756249999999</v>
      </c>
      <c r="CA79" s="329">
        <f>IF($F79&gt;3,$BZ79*$D$211,"")</f>
        <v>1162.768921875</v>
      </c>
      <c r="CB79" s="329">
        <f>IF($F79&gt;4,$CA79*$D$212,"")</f>
      </c>
      <c r="CC79" s="329">
        <f>IF($F79&gt;5,$CB79*$D$213,"")</f>
      </c>
      <c r="CD79" s="329">
        <f>IF($F79&gt;6,$CC79*$D$214,"")</f>
      </c>
      <c r="CE79" s="485" t="s">
        <v>50</v>
      </c>
      <c r="CF79" s="854" t="s">
        <v>584</v>
      </c>
      <c r="CG79" s="440" t="s">
        <v>148</v>
      </c>
      <c r="CH79" s="305">
        <v>13277672</v>
      </c>
      <c r="CI79" s="305">
        <f t="shared" si="39"/>
        <v>3983301.5999999996</v>
      </c>
      <c r="CJ79" s="306">
        <f t="shared" si="40"/>
        <v>9294370.4</v>
      </c>
      <c r="CK79" s="307" t="e">
        <f>CJ79-#REF!</f>
        <v>#REF!</v>
      </c>
      <c r="CL79" s="592">
        <v>12450072</v>
      </c>
      <c r="CM79" s="21">
        <f t="shared" si="27"/>
        <v>0.9376697963317666</v>
      </c>
      <c r="CN79" s="21">
        <f t="shared" si="28"/>
        <v>3.1255659877725557</v>
      </c>
      <c r="CO79" s="54"/>
      <c r="CP79" s="628">
        <f t="shared" si="29"/>
        <v>192.5</v>
      </c>
      <c r="CQ79" s="627">
        <f t="shared" si="30"/>
        <v>225</v>
      </c>
      <c r="CR79" s="624" t="str">
        <f t="shared" si="31"/>
        <v>~</v>
      </c>
      <c r="CS79" s="634">
        <f t="shared" si="32"/>
        <v>253</v>
      </c>
      <c r="CT79" s="591">
        <f t="shared" si="35"/>
        <v>13090000</v>
      </c>
      <c r="CU79" s="591">
        <f t="shared" si="33"/>
        <v>316.25</v>
      </c>
      <c r="CV79" s="591">
        <v>15000</v>
      </c>
      <c r="CW79" s="54"/>
      <c r="CX79" s="54"/>
      <c r="CY79" s="54"/>
      <c r="CZ79" s="54"/>
      <c r="DA79" s="54">
        <v>1.6875</v>
      </c>
      <c r="DB79" s="54">
        <v>6.25</v>
      </c>
      <c r="DC79" s="649">
        <f t="shared" si="34"/>
        <v>5.039650000000001</v>
      </c>
    </row>
    <row r="80" spans="1:107" ht="12.75">
      <c r="A80" s="24" t="s">
        <v>1592</v>
      </c>
      <c r="B80" s="69" t="s">
        <v>1592</v>
      </c>
      <c r="C80" s="308" t="s">
        <v>827</v>
      </c>
      <c r="D80" s="373">
        <v>60</v>
      </c>
      <c r="E80" s="374" t="s">
        <v>572</v>
      </c>
      <c r="F80" s="15">
        <v>4</v>
      </c>
      <c r="G80" s="801">
        <v>4</v>
      </c>
      <c r="H80" s="17">
        <v>4</v>
      </c>
      <c r="I80" s="16">
        <v>1</v>
      </c>
      <c r="J80" s="187">
        <v>2</v>
      </c>
      <c r="K80" s="188">
        <v>3</v>
      </c>
      <c r="L80" s="869">
        <v>300</v>
      </c>
      <c r="M80" s="884">
        <v>575</v>
      </c>
      <c r="N80" s="106">
        <v>400</v>
      </c>
      <c r="O80" s="455">
        <v>150</v>
      </c>
      <c r="P80" s="811">
        <v>50</v>
      </c>
      <c r="Q80" s="340">
        <v>1368</v>
      </c>
      <c r="R80" s="98">
        <v>345</v>
      </c>
      <c r="S80" s="326">
        <f aca="true" t="shared" si="41" ref="S80:S111">MAX($BW80:$CD80)</f>
        <v>911.7165410156248</v>
      </c>
      <c r="T80" s="342">
        <v>11200</v>
      </c>
      <c r="U80" s="343">
        <v>120000</v>
      </c>
      <c r="V80" s="344">
        <v>10000</v>
      </c>
      <c r="W80" s="289">
        <v>0.425</v>
      </c>
      <c r="X80" s="340">
        <v>1368</v>
      </c>
      <c r="Y80" s="43">
        <v>50</v>
      </c>
      <c r="Z80" s="44">
        <v>20</v>
      </c>
      <c r="AA80" s="44">
        <v>25</v>
      </c>
      <c r="AB80" s="49">
        <v>35</v>
      </c>
      <c r="AC80" s="345">
        <v>1016</v>
      </c>
      <c r="AD80" s="312">
        <v>1250</v>
      </c>
      <c r="AE80" s="292">
        <f t="shared" si="36"/>
        <v>0.8128</v>
      </c>
      <c r="AF80" s="43">
        <v>0</v>
      </c>
      <c r="AG80" s="44">
        <v>50</v>
      </c>
      <c r="AH80" s="44">
        <v>40</v>
      </c>
      <c r="AI80" s="45">
        <v>20</v>
      </c>
      <c r="AJ80" s="5">
        <f t="shared" si="25"/>
        <v>3752</v>
      </c>
      <c r="AK80" s="103" t="str">
        <f t="shared" si="23"/>
        <v>A</v>
      </c>
      <c r="AL80" s="862">
        <v>1062</v>
      </c>
      <c r="AM80" s="458">
        <v>381.25</v>
      </c>
      <c r="AN80" s="295">
        <f t="shared" si="37"/>
        <v>2.785573770491803</v>
      </c>
      <c r="AO80" s="145">
        <v>50</v>
      </c>
      <c r="AP80" s="85" t="s">
        <v>465</v>
      </c>
      <c r="AQ80" s="297">
        <v>245</v>
      </c>
      <c r="AR80" s="33">
        <v>12</v>
      </c>
      <c r="AS80" s="34">
        <v>0</v>
      </c>
      <c r="AT80" s="34">
        <v>0</v>
      </c>
      <c r="AU80" s="73">
        <v>0</v>
      </c>
      <c r="AV80" s="39">
        <v>130</v>
      </c>
      <c r="AW80" s="143">
        <v>159</v>
      </c>
      <c r="AX80" s="33">
        <v>6</v>
      </c>
      <c r="AY80" s="34">
        <v>0</v>
      </c>
      <c r="AZ80" s="34">
        <v>0</v>
      </c>
      <c r="BA80" s="84">
        <v>0</v>
      </c>
      <c r="BB80" s="586">
        <v>3</v>
      </c>
      <c r="BC80" s="590">
        <v>8.13E-07</v>
      </c>
      <c r="BD80" s="588">
        <f t="shared" si="26"/>
        <v>72.89470216130734</v>
      </c>
      <c r="BE80" s="299"/>
      <c r="BF80" s="300"/>
      <c r="BG80" s="112"/>
      <c r="BH80" s="541"/>
      <c r="BI80" s="301">
        <v>2</v>
      </c>
      <c r="BJ80" s="696" t="s">
        <v>1476</v>
      </c>
      <c r="BK80" s="13" t="s">
        <v>1152</v>
      </c>
      <c r="BL80" s="303" t="s">
        <v>1583</v>
      </c>
      <c r="BM80" s="86" t="s">
        <v>1394</v>
      </c>
      <c r="BN80" s="303" t="s">
        <v>104</v>
      </c>
      <c r="BO80" s="86"/>
      <c r="BP80" s="1" t="s">
        <v>1395</v>
      </c>
      <c r="BR80" s="1">
        <v>384</v>
      </c>
      <c r="BS80" s="54">
        <v>628</v>
      </c>
      <c r="BT80" s="606" t="s">
        <v>214</v>
      </c>
      <c r="BU80" s="611">
        <v>3</v>
      </c>
      <c r="BV80" s="601">
        <v>3</v>
      </c>
      <c r="BW80" s="329">
        <f t="shared" si="38"/>
        <v>345</v>
      </c>
      <c r="BX80" s="329">
        <f>IF($F80&gt;0,$BW80*$D$208,"")</f>
        <v>439.87499999999994</v>
      </c>
      <c r="BY80" s="329">
        <f>IF($F80&gt;1,$BX80*$D$209,"")</f>
        <v>560.8406249999999</v>
      </c>
      <c r="BZ80" s="329">
        <f>IF($F80&gt;2,$BY80*$D$210,"")</f>
        <v>715.0717968749999</v>
      </c>
      <c r="CA80" s="329">
        <f>IF($F80&gt;3,$BZ80*$D$211,"")</f>
        <v>911.7165410156248</v>
      </c>
      <c r="CB80" s="329">
        <f>IF($F80&gt;4,$CA80*$D$212,"")</f>
      </c>
      <c r="CC80" s="329">
        <f>IF($F80&gt;5,$CB80*$D$213,"")</f>
      </c>
      <c r="CD80" s="329">
        <f>IF($F80&gt;6,$CC80*$D$214,"")</f>
      </c>
      <c r="CE80" s="485" t="s">
        <v>1016</v>
      </c>
      <c r="CF80" s="853" t="s">
        <v>919</v>
      </c>
      <c r="CG80" s="440" t="s">
        <v>51</v>
      </c>
      <c r="CH80" s="305">
        <v>3537500</v>
      </c>
      <c r="CI80" s="305">
        <f t="shared" si="39"/>
        <v>1061250</v>
      </c>
      <c r="CJ80" s="306">
        <f t="shared" si="40"/>
        <v>2476250</v>
      </c>
      <c r="CK80" s="307" t="e">
        <f>CJ80-#REF!</f>
        <v>#REF!</v>
      </c>
      <c r="CL80" s="592">
        <v>3537500</v>
      </c>
      <c r="CM80" s="21">
        <f t="shared" si="27"/>
        <v>1</v>
      </c>
      <c r="CN80" s="21">
        <f t="shared" si="28"/>
        <v>3.3333333333333335</v>
      </c>
      <c r="CO80" s="54"/>
      <c r="CP80" s="625">
        <f t="shared" si="29"/>
        <v>130</v>
      </c>
      <c r="CQ80" s="626">
        <f t="shared" si="30"/>
        <v>110</v>
      </c>
      <c r="CR80" s="624" t="str">
        <f t="shared" si="31"/>
        <v>A</v>
      </c>
      <c r="CS80" s="634">
        <f t="shared" si="32"/>
        <v>159</v>
      </c>
      <c r="CT80" s="591">
        <f t="shared" si="35"/>
        <v>11200000</v>
      </c>
      <c r="CU80" s="591">
        <f t="shared" si="33"/>
        <v>198.75</v>
      </c>
      <c r="CV80" s="591">
        <v>15000</v>
      </c>
      <c r="CW80" s="54"/>
      <c r="CX80" s="54"/>
      <c r="CY80" s="54"/>
      <c r="CZ80" s="54"/>
      <c r="DA80" s="54">
        <v>1.6875</v>
      </c>
      <c r="DB80" s="54">
        <v>6.25</v>
      </c>
      <c r="DC80" s="649">
        <f t="shared" si="34"/>
        <v>4.76</v>
      </c>
    </row>
    <row r="81" spans="1:107" ht="12.75">
      <c r="A81" s="24" t="s">
        <v>1294</v>
      </c>
      <c r="B81" s="69" t="s">
        <v>1294</v>
      </c>
      <c r="C81" s="308" t="s">
        <v>827</v>
      </c>
      <c r="D81" s="373">
        <v>60</v>
      </c>
      <c r="E81" s="374" t="s">
        <v>572</v>
      </c>
      <c r="F81" s="15">
        <v>5</v>
      </c>
      <c r="G81" s="18">
        <v>2</v>
      </c>
      <c r="H81" s="17">
        <v>4</v>
      </c>
      <c r="I81" s="16">
        <v>0</v>
      </c>
      <c r="J81" s="187">
        <v>3</v>
      </c>
      <c r="K81" s="188">
        <v>3</v>
      </c>
      <c r="L81" s="868">
        <v>225</v>
      </c>
      <c r="M81" s="884">
        <v>475</v>
      </c>
      <c r="N81" s="106">
        <v>400</v>
      </c>
      <c r="O81" s="454">
        <v>5</v>
      </c>
      <c r="P81" s="531">
        <v>5</v>
      </c>
      <c r="Q81" s="340">
        <v>1329</v>
      </c>
      <c r="R81" s="98">
        <v>465</v>
      </c>
      <c r="S81" s="326">
        <f t="shared" si="41"/>
        <v>1566.7650558105468</v>
      </c>
      <c r="T81" s="342">
        <v>10730</v>
      </c>
      <c r="U81" s="343">
        <v>115000</v>
      </c>
      <c r="V81" s="344">
        <v>10000</v>
      </c>
      <c r="W81" s="289">
        <v>0.435</v>
      </c>
      <c r="X81" s="354">
        <v>1329</v>
      </c>
      <c r="Y81" s="43">
        <v>50</v>
      </c>
      <c r="Z81" s="44">
        <v>20</v>
      </c>
      <c r="AA81" s="44">
        <v>25</v>
      </c>
      <c r="AB81" s="49">
        <v>35</v>
      </c>
      <c r="AC81" s="345">
        <v>860</v>
      </c>
      <c r="AD81" s="312">
        <v>1250</v>
      </c>
      <c r="AE81" s="292">
        <f t="shared" si="36"/>
        <v>0.688</v>
      </c>
      <c r="AF81" s="43">
        <v>0</v>
      </c>
      <c r="AG81" s="44">
        <v>50</v>
      </c>
      <c r="AH81" s="44">
        <v>40</v>
      </c>
      <c r="AI81" s="45">
        <v>20</v>
      </c>
      <c r="AJ81" s="5">
        <f t="shared" si="25"/>
        <v>3518</v>
      </c>
      <c r="AK81" s="103" t="str">
        <f t="shared" si="23"/>
        <v>A</v>
      </c>
      <c r="AL81" s="862">
        <v>937</v>
      </c>
      <c r="AM81" s="458">
        <v>335</v>
      </c>
      <c r="AN81" s="295">
        <f t="shared" si="37"/>
        <v>2.7970149253731345</v>
      </c>
      <c r="AO81" s="145">
        <v>42</v>
      </c>
      <c r="AP81" s="85" t="s">
        <v>1267</v>
      </c>
      <c r="AQ81" s="297">
        <v>285</v>
      </c>
      <c r="AR81" s="33">
        <v>11</v>
      </c>
      <c r="AS81" s="34">
        <v>0</v>
      </c>
      <c r="AT81" s="34">
        <v>0</v>
      </c>
      <c r="AU81" s="73">
        <v>0</v>
      </c>
      <c r="AV81" s="39">
        <v>110</v>
      </c>
      <c r="AW81" s="143">
        <v>153</v>
      </c>
      <c r="AX81" s="33">
        <v>6</v>
      </c>
      <c r="AY81" s="34">
        <v>0</v>
      </c>
      <c r="AZ81" s="34">
        <v>0</v>
      </c>
      <c r="BA81" s="84">
        <v>0</v>
      </c>
      <c r="BB81" s="586">
        <v>3</v>
      </c>
      <c r="BC81" s="590">
        <v>8.13E-07</v>
      </c>
      <c r="BD81" s="588">
        <f t="shared" si="26"/>
        <v>67.13196209315308</v>
      </c>
      <c r="BE81" s="299"/>
      <c r="BF81" s="300"/>
      <c r="BG81" s="112"/>
      <c r="BH81" s="541"/>
      <c r="BI81" s="301">
        <v>1</v>
      </c>
      <c r="BJ81" s="696" t="s">
        <v>1476</v>
      </c>
      <c r="BK81" s="13" t="s">
        <v>160</v>
      </c>
      <c r="BL81" s="303" t="s">
        <v>957</v>
      </c>
      <c r="BM81" s="86" t="s">
        <v>361</v>
      </c>
      <c r="BN81" s="303" t="s">
        <v>104</v>
      </c>
      <c r="BO81" s="86"/>
      <c r="BP81" s="1" t="s">
        <v>65</v>
      </c>
      <c r="BR81" s="1">
        <v>183</v>
      </c>
      <c r="BS81" s="21">
        <v>625</v>
      </c>
      <c r="BT81" s="605" t="s">
        <v>214</v>
      </c>
      <c r="BU81" s="610">
        <v>3</v>
      </c>
      <c r="BV81" s="601">
        <v>0.2</v>
      </c>
      <c r="BW81" s="329">
        <f t="shared" si="38"/>
        <v>465</v>
      </c>
      <c r="BX81" s="329">
        <f>IF($F81&gt;0,$BW81*$D$208,"")</f>
        <v>592.875</v>
      </c>
      <c r="BY81" s="329">
        <f>IF($F81&gt;1,$BX81*$D$209,"")</f>
        <v>755.915625</v>
      </c>
      <c r="BZ81" s="329">
        <f>IF($F81&gt;2,$BY81*$D$210,"")</f>
        <v>963.792421875</v>
      </c>
      <c r="CA81" s="329">
        <f>IF($F81&gt;3,$BZ81*$D$211,"")</f>
        <v>1228.835337890625</v>
      </c>
      <c r="CB81" s="329">
        <f>IF($F81&gt;4,$CA81*$D$212,"")</f>
        <v>1566.7650558105468</v>
      </c>
      <c r="CC81" s="329">
        <f>IF($F81&gt;5,$CB81*$D$213,"")</f>
      </c>
      <c r="CD81" s="329">
        <f>IF($F81&gt;6,$CC81*$D$214,"")</f>
      </c>
      <c r="CE81" s="485" t="s">
        <v>1740</v>
      </c>
      <c r="CF81" s="853" t="s">
        <v>919</v>
      </c>
      <c r="CG81" s="440" t="s">
        <v>52</v>
      </c>
      <c r="CH81" s="305">
        <v>2907500</v>
      </c>
      <c r="CI81" s="305">
        <f t="shared" si="39"/>
        <v>872250</v>
      </c>
      <c r="CJ81" s="306">
        <f t="shared" si="40"/>
        <v>2035250</v>
      </c>
      <c r="CK81" s="307" t="e">
        <f>CJ81-#REF!</f>
        <v>#REF!</v>
      </c>
      <c r="CL81" s="592">
        <v>2907500</v>
      </c>
      <c r="CM81" s="21">
        <f t="shared" si="27"/>
        <v>1</v>
      </c>
      <c r="CN81" s="21">
        <f t="shared" si="28"/>
        <v>3.3333333333333335</v>
      </c>
      <c r="CO81" s="54"/>
      <c r="CP81" s="625">
        <f t="shared" si="29"/>
        <v>130</v>
      </c>
      <c r="CQ81" s="626">
        <f t="shared" si="30"/>
        <v>110</v>
      </c>
      <c r="CR81" s="624" t="str">
        <f t="shared" si="31"/>
        <v>A</v>
      </c>
      <c r="CS81" s="634">
        <f t="shared" si="32"/>
        <v>153</v>
      </c>
      <c r="CT81" s="591">
        <f t="shared" si="35"/>
        <v>10730000</v>
      </c>
      <c r="CU81" s="591">
        <f t="shared" si="33"/>
        <v>191.25</v>
      </c>
      <c r="CV81" s="591">
        <v>15000</v>
      </c>
      <c r="CW81" s="54"/>
      <c r="CX81" s="54"/>
      <c r="CY81" s="54"/>
      <c r="CZ81" s="54"/>
      <c r="DA81" s="54">
        <v>1.6875</v>
      </c>
      <c r="DB81" s="54">
        <v>6.25</v>
      </c>
      <c r="DC81" s="649">
        <f t="shared" si="34"/>
        <v>4.66755</v>
      </c>
    </row>
    <row r="82" spans="1:107" ht="12.75">
      <c r="A82" s="24" t="s">
        <v>340</v>
      </c>
      <c r="B82" s="69" t="s">
        <v>340</v>
      </c>
      <c r="C82" s="308" t="s">
        <v>827</v>
      </c>
      <c r="D82" s="373">
        <v>60</v>
      </c>
      <c r="E82" s="374" t="s">
        <v>572</v>
      </c>
      <c r="F82" s="15">
        <v>6</v>
      </c>
      <c r="G82" s="18">
        <v>3</v>
      </c>
      <c r="H82" s="17">
        <v>6</v>
      </c>
      <c r="I82" s="16">
        <v>0</v>
      </c>
      <c r="J82" s="737">
        <v>5</v>
      </c>
      <c r="K82" s="188">
        <v>3</v>
      </c>
      <c r="L82" s="868">
        <v>280</v>
      </c>
      <c r="M82" s="884">
        <v>900</v>
      </c>
      <c r="N82" s="106">
        <v>400</v>
      </c>
      <c r="O82" s="454">
        <v>0</v>
      </c>
      <c r="P82" s="531">
        <v>0</v>
      </c>
      <c r="Q82" s="340">
        <v>1719</v>
      </c>
      <c r="R82" s="98">
        <v>280</v>
      </c>
      <c r="S82" s="326">
        <f t="shared" si="41"/>
        <v>1202.8712363964837</v>
      </c>
      <c r="T82" s="342">
        <v>11550</v>
      </c>
      <c r="U82" s="343">
        <v>118000</v>
      </c>
      <c r="V82" s="344">
        <v>10000</v>
      </c>
      <c r="W82" s="289">
        <v>0.425</v>
      </c>
      <c r="X82" s="340">
        <v>1875</v>
      </c>
      <c r="Y82" s="729">
        <v>50</v>
      </c>
      <c r="Z82" s="730">
        <v>20</v>
      </c>
      <c r="AA82" s="730">
        <v>25</v>
      </c>
      <c r="AB82" s="731">
        <v>35</v>
      </c>
      <c r="AC82" s="345">
        <v>1368</v>
      </c>
      <c r="AD82" s="312">
        <v>1250</v>
      </c>
      <c r="AE82" s="292">
        <f t="shared" si="36"/>
        <v>1.0944</v>
      </c>
      <c r="AF82" s="43">
        <v>0</v>
      </c>
      <c r="AG82" s="44">
        <v>50</v>
      </c>
      <c r="AH82" s="44">
        <v>40</v>
      </c>
      <c r="AI82" s="45">
        <v>20</v>
      </c>
      <c r="AJ82" s="5">
        <f t="shared" si="25"/>
        <v>4962</v>
      </c>
      <c r="AK82" s="103" t="str">
        <f t="shared" si="23"/>
        <v>A</v>
      </c>
      <c r="AL82" s="862">
        <v>1500</v>
      </c>
      <c r="AM82" s="458">
        <v>537.5</v>
      </c>
      <c r="AN82" s="295">
        <f t="shared" si="37"/>
        <v>2.7906976744186047</v>
      </c>
      <c r="AO82" s="145">
        <v>47</v>
      </c>
      <c r="AP82" s="85" t="s">
        <v>465</v>
      </c>
      <c r="AQ82" s="297">
        <v>235</v>
      </c>
      <c r="AR82" s="33">
        <v>14</v>
      </c>
      <c r="AS82" s="34">
        <v>0</v>
      </c>
      <c r="AT82" s="34">
        <v>0</v>
      </c>
      <c r="AU82" s="73">
        <v>0</v>
      </c>
      <c r="AV82" s="39">
        <v>130</v>
      </c>
      <c r="AW82" s="143">
        <v>164</v>
      </c>
      <c r="AX82" s="33">
        <v>7</v>
      </c>
      <c r="AY82" s="34">
        <v>0</v>
      </c>
      <c r="AZ82" s="34">
        <v>0</v>
      </c>
      <c r="BA82" s="84">
        <v>0</v>
      </c>
      <c r="BB82" s="586">
        <v>3</v>
      </c>
      <c r="BC82" s="590">
        <v>8.13E-07</v>
      </c>
      <c r="BD82" s="588">
        <f t="shared" si="26"/>
        <v>99.83866072426957</v>
      </c>
      <c r="BE82" s="299"/>
      <c r="BF82" s="300"/>
      <c r="BG82" s="112"/>
      <c r="BH82" s="541"/>
      <c r="BI82" s="301">
        <v>4</v>
      </c>
      <c r="BJ82" s="696" t="s">
        <v>1476</v>
      </c>
      <c r="BK82" s="13" t="s">
        <v>136</v>
      </c>
      <c r="BL82" s="303" t="s">
        <v>67</v>
      </c>
      <c r="BM82" s="86" t="s">
        <v>1450</v>
      </c>
      <c r="BN82" s="303" t="s">
        <v>104</v>
      </c>
      <c r="BO82" s="86"/>
      <c r="BP82" s="1" t="s">
        <v>1137</v>
      </c>
      <c r="BR82" s="1">
        <v>268</v>
      </c>
      <c r="BS82" s="21">
        <v>624</v>
      </c>
      <c r="BT82" s="605"/>
      <c r="BU82" s="600">
        <v>5</v>
      </c>
      <c r="BV82" s="601">
        <v>0</v>
      </c>
      <c r="BW82" s="329">
        <f t="shared" si="38"/>
        <v>280</v>
      </c>
      <c r="BX82" s="329">
        <f>IF($F82&gt;0,$BW82*$D$208,"")</f>
        <v>357</v>
      </c>
      <c r="BY82" s="329">
        <f>IF($F82&gt;1,$BX82*$D$209,"")</f>
        <v>455.17499999999995</v>
      </c>
      <c r="BZ82" s="329">
        <f>IF($F82&gt;2,$BY82*$D$210,"")</f>
        <v>580.3481249999999</v>
      </c>
      <c r="CA82" s="329">
        <f>IF($F82&gt;3,$BZ82*$D$211,"")</f>
        <v>739.9438593749998</v>
      </c>
      <c r="CB82" s="329">
        <f>IF($F82&gt;4,$CA82*$D$212,"")</f>
        <v>943.4284207031246</v>
      </c>
      <c r="CC82" s="329">
        <f>IF($F82&gt;5,$CB82*$D$213,"")</f>
        <v>1202.8712363964837</v>
      </c>
      <c r="CD82" s="329">
        <f>IF($F82&gt;6,$CC82*$D$214,"")</f>
      </c>
      <c r="CE82" s="485" t="s">
        <v>607</v>
      </c>
      <c r="CF82" s="853" t="s">
        <v>919</v>
      </c>
      <c r="CG82" s="440" t="s">
        <v>1371</v>
      </c>
      <c r="CH82" s="305">
        <v>8375000</v>
      </c>
      <c r="CI82" s="305">
        <f t="shared" si="39"/>
        <v>2512500</v>
      </c>
      <c r="CJ82" s="306">
        <f t="shared" si="40"/>
        <v>5862500</v>
      </c>
      <c r="CK82" s="307" t="e">
        <f>CJ82-#REF!</f>
        <v>#REF!</v>
      </c>
      <c r="CL82" s="592">
        <v>8375000</v>
      </c>
      <c r="CM82" s="21">
        <f t="shared" si="27"/>
        <v>1</v>
      </c>
      <c r="CN82" s="21">
        <f t="shared" si="28"/>
        <v>3.3333333333333335</v>
      </c>
      <c r="CO82" s="54"/>
      <c r="CP82" s="625">
        <f t="shared" si="29"/>
        <v>130</v>
      </c>
      <c r="CQ82" s="626">
        <f t="shared" si="30"/>
        <v>110</v>
      </c>
      <c r="CR82" s="624" t="str">
        <f t="shared" si="31"/>
        <v>A</v>
      </c>
      <c r="CS82" s="634">
        <f t="shared" si="32"/>
        <v>164</v>
      </c>
      <c r="CT82" s="591">
        <f t="shared" si="35"/>
        <v>11550000</v>
      </c>
      <c r="CU82" s="591">
        <f t="shared" si="33"/>
        <v>205</v>
      </c>
      <c r="CV82" s="591">
        <v>15000</v>
      </c>
      <c r="CW82" s="54"/>
      <c r="CX82" s="54"/>
      <c r="CY82" s="54"/>
      <c r="CZ82" s="54"/>
      <c r="DA82" s="54">
        <v>1.6875</v>
      </c>
      <c r="DB82" s="54">
        <v>6.25</v>
      </c>
      <c r="DC82" s="649">
        <f t="shared" si="34"/>
        <v>4.90875</v>
      </c>
    </row>
    <row r="83" spans="1:107" ht="12.75">
      <c r="A83" s="24" t="s">
        <v>684</v>
      </c>
      <c r="B83" s="69" t="s">
        <v>684</v>
      </c>
      <c r="C83" s="308" t="s">
        <v>827</v>
      </c>
      <c r="D83" s="373">
        <v>60</v>
      </c>
      <c r="E83" s="374" t="s">
        <v>572</v>
      </c>
      <c r="F83" s="15">
        <v>5</v>
      </c>
      <c r="G83" s="18">
        <v>3</v>
      </c>
      <c r="H83" s="17">
        <v>5</v>
      </c>
      <c r="I83" s="16">
        <v>1</v>
      </c>
      <c r="J83" s="738">
        <v>5</v>
      </c>
      <c r="K83" s="188">
        <v>3</v>
      </c>
      <c r="L83" s="868">
        <v>250</v>
      </c>
      <c r="M83" s="884">
        <v>730</v>
      </c>
      <c r="N83" s="106">
        <v>400</v>
      </c>
      <c r="O83" s="454">
        <v>15</v>
      </c>
      <c r="P83" s="531">
        <v>15</v>
      </c>
      <c r="Q83" s="340">
        <v>1563</v>
      </c>
      <c r="R83" s="98">
        <v>450</v>
      </c>
      <c r="S83" s="326">
        <f t="shared" si="41"/>
        <v>1516.2242475585936</v>
      </c>
      <c r="T83" s="342">
        <v>11650</v>
      </c>
      <c r="U83" s="343">
        <v>118000</v>
      </c>
      <c r="V83" s="344">
        <v>10000</v>
      </c>
      <c r="W83" s="289">
        <v>0.39</v>
      </c>
      <c r="X83" s="340">
        <v>1563</v>
      </c>
      <c r="Y83" s="43">
        <v>50</v>
      </c>
      <c r="Z83" s="44">
        <v>20</v>
      </c>
      <c r="AA83" s="44">
        <v>25</v>
      </c>
      <c r="AB83" s="49">
        <v>35</v>
      </c>
      <c r="AC83" s="345">
        <v>1173</v>
      </c>
      <c r="AD83" s="312">
        <v>1250</v>
      </c>
      <c r="AE83" s="292">
        <f t="shared" si="36"/>
        <v>0.9384</v>
      </c>
      <c r="AF83" s="43">
        <v>0</v>
      </c>
      <c r="AG83" s="44">
        <v>50</v>
      </c>
      <c r="AH83" s="44">
        <v>40</v>
      </c>
      <c r="AI83" s="45">
        <v>20</v>
      </c>
      <c r="AJ83" s="5">
        <f t="shared" si="25"/>
        <v>4299</v>
      </c>
      <c r="AK83" s="103" t="str">
        <f t="shared" si="23"/>
        <v>A</v>
      </c>
      <c r="AL83" s="862">
        <v>1250</v>
      </c>
      <c r="AM83" s="458">
        <v>446.25</v>
      </c>
      <c r="AN83" s="295">
        <f t="shared" si="37"/>
        <v>2.8011204481792715</v>
      </c>
      <c r="AO83" s="145">
        <v>45</v>
      </c>
      <c r="AP83" s="85" t="s">
        <v>462</v>
      </c>
      <c r="AQ83" s="297">
        <v>255</v>
      </c>
      <c r="AR83" s="33">
        <v>13</v>
      </c>
      <c r="AS83" s="34">
        <v>0</v>
      </c>
      <c r="AT83" s="34">
        <v>0</v>
      </c>
      <c r="AU83" s="73">
        <v>0</v>
      </c>
      <c r="AV83" s="39">
        <v>125</v>
      </c>
      <c r="AW83" s="143">
        <v>181</v>
      </c>
      <c r="AX83" s="33">
        <v>7</v>
      </c>
      <c r="AY83" s="34">
        <v>0</v>
      </c>
      <c r="AZ83" s="34">
        <v>0</v>
      </c>
      <c r="BA83" s="84">
        <v>0</v>
      </c>
      <c r="BB83" s="586">
        <v>3</v>
      </c>
      <c r="BC83" s="590">
        <v>8.13E-07</v>
      </c>
      <c r="BD83" s="588">
        <f t="shared" si="26"/>
        <v>82.48473042670342</v>
      </c>
      <c r="BE83" s="299"/>
      <c r="BF83" s="300"/>
      <c r="BG83" s="112"/>
      <c r="BH83" s="541"/>
      <c r="BI83" s="301">
        <v>3</v>
      </c>
      <c r="BJ83" s="696" t="s">
        <v>1476</v>
      </c>
      <c r="BK83" s="13" t="s">
        <v>136</v>
      </c>
      <c r="BL83" s="303" t="s">
        <v>1056</v>
      </c>
      <c r="BM83" s="86" t="s">
        <v>670</v>
      </c>
      <c r="BN83" s="303" t="s">
        <v>104</v>
      </c>
      <c r="BO83" s="86"/>
      <c r="BP83" s="1" t="s">
        <v>671</v>
      </c>
      <c r="BR83" s="1">
        <v>268</v>
      </c>
      <c r="BS83" s="21">
        <v>2006</v>
      </c>
      <c r="BT83" s="605"/>
      <c r="BU83" s="600">
        <v>6.25</v>
      </c>
      <c r="BV83" s="601">
        <v>0.6</v>
      </c>
      <c r="BW83" s="329">
        <f t="shared" si="38"/>
        <v>450</v>
      </c>
      <c r="BX83" s="329">
        <f>IF($F83&gt;0,$BW83*$D$208,"")</f>
        <v>573.75</v>
      </c>
      <c r="BY83" s="329">
        <f>IF($F83&gt;1,$BX83*$D$209,"")</f>
        <v>731.53125</v>
      </c>
      <c r="BZ83" s="329">
        <f>IF($F83&gt;2,$BY83*$D$210,"")</f>
        <v>932.70234375</v>
      </c>
      <c r="CA83" s="329">
        <f>IF($F83&gt;3,$BZ83*$D$211,"")</f>
        <v>1189.19548828125</v>
      </c>
      <c r="CB83" s="329">
        <f>IF($F83&gt;4,$CA83*$D$212,"")</f>
        <v>1516.2242475585936</v>
      </c>
      <c r="CC83" s="329">
        <f>IF($F83&gt;5,$CB83*$D$213,"")</f>
      </c>
      <c r="CD83" s="329">
        <f>IF($F83&gt;6,$CC83*$D$214,"")</f>
      </c>
      <c r="CE83" s="485" t="s">
        <v>416</v>
      </c>
      <c r="CF83" s="853" t="s">
        <v>919</v>
      </c>
      <c r="CG83" s="440" t="s">
        <v>1372</v>
      </c>
      <c r="CH83" s="305">
        <v>4527500</v>
      </c>
      <c r="CI83" s="305">
        <f t="shared" si="39"/>
        <v>1358250</v>
      </c>
      <c r="CJ83" s="306">
        <f t="shared" si="40"/>
        <v>3169250</v>
      </c>
      <c r="CK83" s="307" t="e">
        <f>CJ83-#REF!</f>
        <v>#REF!</v>
      </c>
      <c r="CL83" s="592">
        <v>4527500</v>
      </c>
      <c r="CM83" s="21">
        <f t="shared" si="27"/>
        <v>1</v>
      </c>
      <c r="CN83" s="21">
        <f t="shared" si="28"/>
        <v>3.3333333333333335</v>
      </c>
      <c r="CO83" s="54"/>
      <c r="CP83" s="625">
        <f t="shared" si="29"/>
        <v>130</v>
      </c>
      <c r="CQ83" s="626">
        <f t="shared" si="30"/>
        <v>110</v>
      </c>
      <c r="CR83" s="624" t="str">
        <f t="shared" si="31"/>
        <v>A</v>
      </c>
      <c r="CS83" s="634">
        <f t="shared" si="32"/>
        <v>181</v>
      </c>
      <c r="CT83" s="591">
        <f t="shared" si="35"/>
        <v>11650000</v>
      </c>
      <c r="CU83" s="591">
        <f t="shared" si="33"/>
        <v>226.25</v>
      </c>
      <c r="CV83" s="591">
        <v>15000</v>
      </c>
      <c r="CW83" s="54"/>
      <c r="CX83" s="54"/>
      <c r="CY83" s="54"/>
      <c r="CZ83" s="54"/>
      <c r="DA83" s="54">
        <v>1.6875</v>
      </c>
      <c r="DB83" s="54">
        <v>6.25</v>
      </c>
      <c r="DC83" s="649">
        <f t="shared" si="34"/>
        <v>4.5435</v>
      </c>
    </row>
    <row r="84" spans="1:107" ht="12.75">
      <c r="A84" s="24" t="s">
        <v>900</v>
      </c>
      <c r="B84" s="69" t="s">
        <v>900</v>
      </c>
      <c r="C84" s="636" t="s">
        <v>865</v>
      </c>
      <c r="D84" s="373">
        <v>60</v>
      </c>
      <c r="E84" s="374" t="s">
        <v>572</v>
      </c>
      <c r="F84" s="15">
        <v>2</v>
      </c>
      <c r="G84" s="739">
        <v>6</v>
      </c>
      <c r="H84" s="17">
        <v>4</v>
      </c>
      <c r="I84" s="16">
        <v>3</v>
      </c>
      <c r="J84" s="187">
        <v>3</v>
      </c>
      <c r="K84" s="188">
        <v>3</v>
      </c>
      <c r="L84" s="869">
        <v>400</v>
      </c>
      <c r="M84" s="884">
        <v>525</v>
      </c>
      <c r="N84" s="106">
        <v>400</v>
      </c>
      <c r="O84" s="454">
        <v>0</v>
      </c>
      <c r="P84" s="531">
        <v>0</v>
      </c>
      <c r="Q84" s="340">
        <v>1133</v>
      </c>
      <c r="R84" s="98">
        <v>305</v>
      </c>
      <c r="S84" s="326">
        <f t="shared" si="41"/>
        <v>495.81562499999995</v>
      </c>
      <c r="T84" s="342">
        <v>13190</v>
      </c>
      <c r="U84" s="343">
        <v>96000</v>
      </c>
      <c r="V84" s="344">
        <v>10000</v>
      </c>
      <c r="W84" s="289">
        <v>0.315</v>
      </c>
      <c r="X84" s="340">
        <v>1055</v>
      </c>
      <c r="Y84" s="43">
        <v>50</v>
      </c>
      <c r="Z84" s="44">
        <v>10</v>
      </c>
      <c r="AA84" s="44">
        <v>25</v>
      </c>
      <c r="AB84" s="49">
        <v>45</v>
      </c>
      <c r="AC84" s="345">
        <v>1406</v>
      </c>
      <c r="AD84" s="312">
        <v>1250</v>
      </c>
      <c r="AE84" s="292">
        <f t="shared" si="36"/>
        <v>1.1248</v>
      </c>
      <c r="AF84" s="43">
        <v>0</v>
      </c>
      <c r="AG84" s="44">
        <v>50</v>
      </c>
      <c r="AH84" s="44">
        <v>40</v>
      </c>
      <c r="AI84" s="45">
        <v>20</v>
      </c>
      <c r="AJ84" s="5">
        <f t="shared" si="25"/>
        <v>3594</v>
      </c>
      <c r="AK84" s="103" t="str">
        <f t="shared" si="23"/>
        <v>S</v>
      </c>
      <c r="AL84" s="862">
        <v>1062</v>
      </c>
      <c r="AM84" s="458">
        <v>381.25</v>
      </c>
      <c r="AN84" s="295">
        <f t="shared" si="37"/>
        <v>2.785573770491803</v>
      </c>
      <c r="AO84" s="145">
        <v>75</v>
      </c>
      <c r="AP84" s="85" t="s">
        <v>990</v>
      </c>
      <c r="AQ84" s="297">
        <v>200</v>
      </c>
      <c r="AR84" s="33">
        <v>0</v>
      </c>
      <c r="AS84" s="34">
        <v>20</v>
      </c>
      <c r="AT84" s="34">
        <v>0</v>
      </c>
      <c r="AU84" s="73">
        <v>0</v>
      </c>
      <c r="AV84" s="39">
        <v>150</v>
      </c>
      <c r="AW84" s="143">
        <v>181</v>
      </c>
      <c r="AX84" s="33">
        <v>0</v>
      </c>
      <c r="AY84" s="34">
        <v>5</v>
      </c>
      <c r="AZ84" s="34">
        <v>0</v>
      </c>
      <c r="BA84" s="84">
        <v>0</v>
      </c>
      <c r="BB84" s="586">
        <v>3</v>
      </c>
      <c r="BC84" s="590">
        <v>8.13E-07</v>
      </c>
      <c r="BD84" s="588">
        <f t="shared" si="26"/>
        <v>61.89694194136786</v>
      </c>
      <c r="BE84" s="299"/>
      <c r="BF84" s="300"/>
      <c r="BG84" s="112"/>
      <c r="BH84" s="541"/>
      <c r="BI84" s="301">
        <v>2</v>
      </c>
      <c r="BJ84" s="696" t="s">
        <v>1476</v>
      </c>
      <c r="BK84" s="13" t="s">
        <v>181</v>
      </c>
      <c r="BL84" s="303" t="s">
        <v>1708</v>
      </c>
      <c r="BM84" s="86" t="s">
        <v>1000</v>
      </c>
      <c r="BN84" s="303" t="s">
        <v>104</v>
      </c>
      <c r="BO84" s="86"/>
      <c r="BP84" s="1" t="s">
        <v>1001</v>
      </c>
      <c r="BQ84" t="s">
        <v>1002</v>
      </c>
      <c r="BR84" s="1">
        <v>350</v>
      </c>
      <c r="BS84" s="21">
        <v>632</v>
      </c>
      <c r="BT84" s="605" t="s">
        <v>214</v>
      </c>
      <c r="BU84" s="610">
        <v>4</v>
      </c>
      <c r="BV84" s="601">
        <v>0</v>
      </c>
      <c r="BW84" s="329">
        <f t="shared" si="38"/>
        <v>305</v>
      </c>
      <c r="BX84" s="329">
        <f>IF($F84&gt;0,$BW84*$D$208,"")</f>
        <v>388.875</v>
      </c>
      <c r="BY84" s="329">
        <f>IF($F84&gt;1,$BX84*$D$209,"")</f>
        <v>495.81562499999995</v>
      </c>
      <c r="BZ84" s="329">
        <f>IF($F84&gt;2,$BY84*$D$210,"")</f>
      </c>
      <c r="CA84" s="329">
        <f>IF($F84&gt;3,$BZ84*$D$211,"")</f>
      </c>
      <c r="CB84" s="329">
        <f>IF($F84&gt;4,$CA84*$D$212,"")</f>
      </c>
      <c r="CC84" s="329">
        <f>IF($F84&gt;5,$CB84*$D$213,"")</f>
      </c>
      <c r="CD84" s="329">
        <f>IF($F84&gt;6,$CC84*$D$214,"")</f>
      </c>
      <c r="CE84" s="485" t="s">
        <v>418</v>
      </c>
      <c r="CF84" s="853" t="s">
        <v>919</v>
      </c>
      <c r="CG84" s="440" t="s">
        <v>195</v>
      </c>
      <c r="CH84" s="305">
        <v>3512500</v>
      </c>
      <c r="CI84" s="305">
        <f t="shared" si="39"/>
        <v>1053750</v>
      </c>
      <c r="CJ84" s="306">
        <f t="shared" si="40"/>
        <v>2458750</v>
      </c>
      <c r="CK84" s="307" t="e">
        <f>CJ84-#REF!</f>
        <v>#REF!</v>
      </c>
      <c r="CL84" s="592">
        <v>3512500</v>
      </c>
      <c r="CM84" s="21">
        <f t="shared" si="27"/>
        <v>1</v>
      </c>
      <c r="CN84" s="21">
        <f t="shared" si="28"/>
        <v>3.3333333333333335</v>
      </c>
      <c r="CO84" s="54"/>
      <c r="CP84" s="622">
        <f t="shared" si="29"/>
        <v>130</v>
      </c>
      <c r="CQ84" s="623">
        <f t="shared" si="30"/>
        <v>110</v>
      </c>
      <c r="CR84" s="624" t="str">
        <f t="shared" si="31"/>
        <v>S</v>
      </c>
      <c r="CS84" s="634">
        <f t="shared" si="32"/>
        <v>181</v>
      </c>
      <c r="CT84" s="591">
        <f t="shared" si="35"/>
        <v>13190000</v>
      </c>
      <c r="CU84" s="591">
        <f t="shared" si="33"/>
        <v>226.25</v>
      </c>
      <c r="CV84" s="591">
        <v>15000</v>
      </c>
      <c r="CW84" s="54"/>
      <c r="CX84" s="54"/>
      <c r="CY84" s="54"/>
      <c r="CZ84" s="54"/>
      <c r="DA84" s="54">
        <v>1.6875</v>
      </c>
      <c r="DB84" s="54">
        <v>6.25</v>
      </c>
      <c r="DC84" s="649">
        <f t="shared" si="34"/>
        <v>4.154850000000001</v>
      </c>
    </row>
    <row r="85" spans="1:107" ht="12.75">
      <c r="A85" s="24" t="s">
        <v>641</v>
      </c>
      <c r="B85" s="69" t="s">
        <v>641</v>
      </c>
      <c r="C85" s="636" t="s">
        <v>865</v>
      </c>
      <c r="D85" s="373">
        <v>60</v>
      </c>
      <c r="E85" s="374" t="s">
        <v>572</v>
      </c>
      <c r="F85" s="15">
        <v>2</v>
      </c>
      <c r="G85" s="18">
        <v>5</v>
      </c>
      <c r="H85" s="17">
        <v>5</v>
      </c>
      <c r="I85" s="740">
        <v>5</v>
      </c>
      <c r="J85" s="187">
        <v>2</v>
      </c>
      <c r="K85" s="188">
        <v>3</v>
      </c>
      <c r="L85" s="868">
        <v>350</v>
      </c>
      <c r="M85" s="884">
        <v>530</v>
      </c>
      <c r="N85" s="106">
        <v>400</v>
      </c>
      <c r="O85" s="454">
        <v>10</v>
      </c>
      <c r="P85" s="531">
        <v>10</v>
      </c>
      <c r="Q85" s="340">
        <v>1329</v>
      </c>
      <c r="R85" s="98">
        <v>450</v>
      </c>
      <c r="S85" s="326">
        <f t="shared" si="41"/>
        <v>731.53125</v>
      </c>
      <c r="T85" s="342">
        <v>12910</v>
      </c>
      <c r="U85" s="343">
        <v>92000</v>
      </c>
      <c r="V85" s="344">
        <v>10000</v>
      </c>
      <c r="W85" s="289">
        <v>0.295</v>
      </c>
      <c r="X85" s="340">
        <v>1055</v>
      </c>
      <c r="Y85" s="43">
        <v>50</v>
      </c>
      <c r="Z85" s="44">
        <v>10</v>
      </c>
      <c r="AA85" s="44">
        <v>25</v>
      </c>
      <c r="AB85" s="49">
        <v>45</v>
      </c>
      <c r="AC85" s="345">
        <v>1563</v>
      </c>
      <c r="AD85" s="312">
        <v>1250</v>
      </c>
      <c r="AE85" s="292">
        <f t="shared" si="36"/>
        <v>1.2504</v>
      </c>
      <c r="AF85" s="43">
        <v>0</v>
      </c>
      <c r="AG85" s="44">
        <v>50</v>
      </c>
      <c r="AH85" s="44">
        <v>40</v>
      </c>
      <c r="AI85" s="45">
        <v>20</v>
      </c>
      <c r="AJ85" s="5">
        <f t="shared" si="25"/>
        <v>3947</v>
      </c>
      <c r="AK85" s="103" t="str">
        <f t="shared" si="23"/>
        <v>S</v>
      </c>
      <c r="AL85" s="862">
        <v>1062</v>
      </c>
      <c r="AM85" s="458">
        <v>381.25</v>
      </c>
      <c r="AN85" s="295">
        <f t="shared" si="37"/>
        <v>2.785573770491803</v>
      </c>
      <c r="AO85" s="145">
        <v>57</v>
      </c>
      <c r="AP85" s="85" t="s">
        <v>465</v>
      </c>
      <c r="AQ85" s="297">
        <v>210</v>
      </c>
      <c r="AR85" s="33">
        <v>0</v>
      </c>
      <c r="AS85" s="34">
        <v>15</v>
      </c>
      <c r="AT85" s="34">
        <v>0</v>
      </c>
      <c r="AU85" s="73">
        <v>0</v>
      </c>
      <c r="AV85" s="39">
        <v>145</v>
      </c>
      <c r="AW85" s="143">
        <v>178</v>
      </c>
      <c r="AX85" s="33">
        <v>0</v>
      </c>
      <c r="AY85" s="34">
        <v>6</v>
      </c>
      <c r="AZ85" s="34">
        <v>0</v>
      </c>
      <c r="BA85" s="84">
        <v>0</v>
      </c>
      <c r="BB85" s="586">
        <v>3</v>
      </c>
      <c r="BC85" s="590">
        <v>8.13E-07</v>
      </c>
      <c r="BD85" s="588">
        <f t="shared" si="26"/>
        <v>63.239400790599696</v>
      </c>
      <c r="BE85" s="299"/>
      <c r="BF85" s="300"/>
      <c r="BG85" s="112"/>
      <c r="BH85" s="541"/>
      <c r="BI85" s="301">
        <v>3</v>
      </c>
      <c r="BJ85" s="696" t="s">
        <v>1476</v>
      </c>
      <c r="BK85" s="13" t="s">
        <v>1671</v>
      </c>
      <c r="BL85" s="303" t="s">
        <v>1004</v>
      </c>
      <c r="BM85" s="86" t="s">
        <v>642</v>
      </c>
      <c r="BN85" s="303" t="s">
        <v>104</v>
      </c>
      <c r="BO85" s="86"/>
      <c r="BP85" s="1" t="s">
        <v>643</v>
      </c>
      <c r="BR85" s="1">
        <v>442</v>
      </c>
      <c r="BS85" s="21">
        <v>621</v>
      </c>
      <c r="BT85" s="605"/>
      <c r="BU85" s="600">
        <v>6.25</v>
      </c>
      <c r="BV85" s="601">
        <v>0.4</v>
      </c>
      <c r="BW85" s="329">
        <f t="shared" si="38"/>
        <v>450</v>
      </c>
      <c r="BX85" s="329">
        <f>IF($F85&gt;0,$BW85*$D$208,"")</f>
        <v>573.75</v>
      </c>
      <c r="BY85" s="329">
        <f>IF($F85&gt;1,$BX85*$D$209,"")</f>
        <v>731.53125</v>
      </c>
      <c r="BZ85" s="329">
        <f>IF($F85&gt;2,$BY85*$D$210,"")</f>
      </c>
      <c r="CA85" s="329">
        <f>IF($F85&gt;3,$BZ85*$D$211,"")</f>
      </c>
      <c r="CB85" s="329">
        <f>IF($F85&gt;4,$CA85*$D$212,"")</f>
      </c>
      <c r="CC85" s="329">
        <f>IF($F85&gt;5,$CB85*$D$213,"")</f>
      </c>
      <c r="CD85" s="329">
        <f>IF($F85&gt;6,$CC85*$D$214,"")</f>
      </c>
      <c r="CE85" s="485" t="s">
        <v>1252</v>
      </c>
      <c r="CF85" s="853" t="s">
        <v>919</v>
      </c>
      <c r="CG85" s="440" t="s">
        <v>1585</v>
      </c>
      <c r="CH85" s="305">
        <v>4560000</v>
      </c>
      <c r="CI85" s="305">
        <f t="shared" si="39"/>
        <v>1368000</v>
      </c>
      <c r="CJ85" s="306">
        <f t="shared" si="40"/>
        <v>3192000</v>
      </c>
      <c r="CK85" s="307" t="e">
        <f>CJ85-#REF!</f>
        <v>#REF!</v>
      </c>
      <c r="CL85" s="592">
        <v>4560000</v>
      </c>
      <c r="CM85" s="21">
        <f t="shared" si="27"/>
        <v>1</v>
      </c>
      <c r="CN85" s="21">
        <f t="shared" si="28"/>
        <v>3.3333333333333335</v>
      </c>
      <c r="CO85" s="54"/>
      <c r="CP85" s="622">
        <f t="shared" si="29"/>
        <v>130</v>
      </c>
      <c r="CQ85" s="623">
        <f t="shared" si="30"/>
        <v>110</v>
      </c>
      <c r="CR85" s="624" t="str">
        <f t="shared" si="31"/>
        <v>S</v>
      </c>
      <c r="CS85" s="634">
        <f t="shared" si="32"/>
        <v>178</v>
      </c>
      <c r="CT85" s="591">
        <f t="shared" si="35"/>
        <v>12910000</v>
      </c>
      <c r="CU85" s="591">
        <f t="shared" si="33"/>
        <v>222.5</v>
      </c>
      <c r="CV85" s="591">
        <v>15000</v>
      </c>
      <c r="CW85" s="54"/>
      <c r="CX85" s="54"/>
      <c r="CY85" s="54"/>
      <c r="CZ85" s="54"/>
      <c r="DA85" s="54">
        <v>1.6875</v>
      </c>
      <c r="DB85" s="54">
        <v>6.25</v>
      </c>
      <c r="DC85" s="649">
        <f t="shared" si="34"/>
        <v>3.8084499999999997</v>
      </c>
    </row>
    <row r="86" spans="1:107" ht="12.75">
      <c r="A86" s="24" t="s">
        <v>1084</v>
      </c>
      <c r="B86" s="69" t="s">
        <v>1084</v>
      </c>
      <c r="C86" s="636" t="s">
        <v>865</v>
      </c>
      <c r="D86" s="373">
        <v>60</v>
      </c>
      <c r="E86" s="374" t="s">
        <v>572</v>
      </c>
      <c r="F86" s="15">
        <v>4</v>
      </c>
      <c r="G86" s="18">
        <v>4</v>
      </c>
      <c r="H86" s="17">
        <v>6</v>
      </c>
      <c r="I86" s="16">
        <v>2</v>
      </c>
      <c r="J86" s="741">
        <v>5</v>
      </c>
      <c r="K86" s="188">
        <v>3</v>
      </c>
      <c r="L86" s="868">
        <v>360</v>
      </c>
      <c r="M86" s="884">
        <v>780</v>
      </c>
      <c r="N86" s="106">
        <v>400</v>
      </c>
      <c r="O86" s="454">
        <v>15</v>
      </c>
      <c r="P86" s="531">
        <v>15</v>
      </c>
      <c r="Q86" s="340">
        <v>1524</v>
      </c>
      <c r="R86" s="98">
        <v>250</v>
      </c>
      <c r="S86" s="326">
        <f t="shared" si="41"/>
        <v>660.66416015625</v>
      </c>
      <c r="T86" s="342">
        <v>13000</v>
      </c>
      <c r="U86" s="343">
        <v>101000</v>
      </c>
      <c r="V86" s="344">
        <v>10000</v>
      </c>
      <c r="W86" s="289">
        <v>0.38</v>
      </c>
      <c r="X86" s="340">
        <v>1329</v>
      </c>
      <c r="Y86" s="43">
        <v>50</v>
      </c>
      <c r="Z86" s="44">
        <v>10</v>
      </c>
      <c r="AA86" s="44">
        <v>25</v>
      </c>
      <c r="AB86" s="49">
        <v>45</v>
      </c>
      <c r="AC86" s="345">
        <v>1875</v>
      </c>
      <c r="AD86" s="312">
        <v>1250</v>
      </c>
      <c r="AE86" s="292">
        <f t="shared" si="36"/>
        <v>1.5</v>
      </c>
      <c r="AF86" s="729">
        <v>0</v>
      </c>
      <c r="AG86" s="730">
        <v>50</v>
      </c>
      <c r="AH86" s="730">
        <v>40</v>
      </c>
      <c r="AI86" s="745">
        <v>20</v>
      </c>
      <c r="AJ86" s="5">
        <f t="shared" si="25"/>
        <v>4728</v>
      </c>
      <c r="AK86" s="103" t="str">
        <f t="shared" si="23"/>
        <v>S</v>
      </c>
      <c r="AL86" s="862">
        <v>1375</v>
      </c>
      <c r="AM86" s="458">
        <v>491.25</v>
      </c>
      <c r="AN86" s="295">
        <f t="shared" si="37"/>
        <v>2.7989821882951653</v>
      </c>
      <c r="AO86" s="145">
        <v>55</v>
      </c>
      <c r="AP86" s="85" t="s">
        <v>462</v>
      </c>
      <c r="AQ86" s="297">
        <v>220</v>
      </c>
      <c r="AR86" s="33">
        <v>0</v>
      </c>
      <c r="AS86" s="34">
        <v>16</v>
      </c>
      <c r="AT86" s="34">
        <v>0</v>
      </c>
      <c r="AU86" s="73">
        <v>0</v>
      </c>
      <c r="AV86" s="39">
        <v>135</v>
      </c>
      <c r="AW86" s="143">
        <v>164</v>
      </c>
      <c r="AX86" s="33">
        <v>0</v>
      </c>
      <c r="AY86" s="34">
        <v>6</v>
      </c>
      <c r="AZ86" s="34">
        <v>0</v>
      </c>
      <c r="BA86" s="84">
        <v>0</v>
      </c>
      <c r="BB86" s="586">
        <v>3</v>
      </c>
      <c r="BC86" s="590">
        <v>8.13E-07</v>
      </c>
      <c r="BD86" s="588">
        <f t="shared" si="26"/>
        <v>81.3109092629388</v>
      </c>
      <c r="BE86" s="299"/>
      <c r="BF86" s="300"/>
      <c r="BG86" s="112"/>
      <c r="BH86" s="541"/>
      <c r="BI86" s="301">
        <v>4</v>
      </c>
      <c r="BJ86" s="696" t="s">
        <v>1476</v>
      </c>
      <c r="BK86" s="13" t="s">
        <v>136</v>
      </c>
      <c r="BL86" s="303" t="s">
        <v>1078</v>
      </c>
      <c r="BM86" s="86" t="s">
        <v>601</v>
      </c>
      <c r="BN86" s="303" t="s">
        <v>104</v>
      </c>
      <c r="BO86" s="86"/>
      <c r="BP86" s="1" t="s">
        <v>602</v>
      </c>
      <c r="BR86" s="1">
        <v>399</v>
      </c>
      <c r="BS86" s="21">
        <v>623</v>
      </c>
      <c r="BT86" s="605"/>
      <c r="BU86" s="600">
        <v>5</v>
      </c>
      <c r="BV86" s="601">
        <v>0.6</v>
      </c>
      <c r="BW86" s="329">
        <f t="shared" si="38"/>
        <v>250</v>
      </c>
      <c r="BX86" s="329">
        <f>IF($F86&gt;0,$BW86*$D$208,"")</f>
        <v>318.75</v>
      </c>
      <c r="BY86" s="329">
        <f>IF($F86&gt;1,$BX86*$D$209,"")</f>
        <v>406.40625</v>
      </c>
      <c r="BZ86" s="329">
        <f>IF($F86&gt;2,$BY86*$D$210,"")</f>
        <v>518.16796875</v>
      </c>
      <c r="CA86" s="329">
        <f>IF($F86&gt;3,$BZ86*$D$211,"")</f>
        <v>660.66416015625</v>
      </c>
      <c r="CB86" s="329">
        <f>IF($F86&gt;4,$CA86*$D$212,"")</f>
      </c>
      <c r="CC86" s="329">
        <f>IF($F86&gt;5,$CB86*$D$213,"")</f>
      </c>
      <c r="CD86" s="329">
        <f>IF($F86&gt;6,$CC86*$D$214,"")</f>
      </c>
      <c r="CE86" s="485" t="s">
        <v>177</v>
      </c>
      <c r="CF86" s="853" t="s">
        <v>919</v>
      </c>
      <c r="CG86" s="440" t="s">
        <v>1586</v>
      </c>
      <c r="CH86" s="305">
        <v>8000000</v>
      </c>
      <c r="CI86" s="305">
        <f t="shared" si="39"/>
        <v>2400000</v>
      </c>
      <c r="CJ86" s="306">
        <f t="shared" si="40"/>
        <v>5600000</v>
      </c>
      <c r="CK86" s="307" t="e">
        <f>CJ86-#REF!</f>
        <v>#REF!</v>
      </c>
      <c r="CL86" s="592">
        <v>8000000</v>
      </c>
      <c r="CM86" s="21">
        <f t="shared" si="27"/>
        <v>1</v>
      </c>
      <c r="CN86" s="21">
        <f t="shared" si="28"/>
        <v>3.3333333333333335</v>
      </c>
      <c r="CO86" s="54"/>
      <c r="CP86" s="622">
        <f t="shared" si="29"/>
        <v>130</v>
      </c>
      <c r="CQ86" s="623">
        <f t="shared" si="30"/>
        <v>110</v>
      </c>
      <c r="CR86" s="624" t="str">
        <f t="shared" si="31"/>
        <v>S</v>
      </c>
      <c r="CS86" s="634">
        <f t="shared" si="32"/>
        <v>164</v>
      </c>
      <c r="CT86" s="591">
        <f t="shared" si="35"/>
        <v>13000000</v>
      </c>
      <c r="CU86" s="591">
        <f t="shared" si="33"/>
        <v>205</v>
      </c>
      <c r="CV86" s="591">
        <v>15000</v>
      </c>
      <c r="CW86" s="54"/>
      <c r="CX86" s="54"/>
      <c r="CY86" s="54"/>
      <c r="CZ86" s="54"/>
      <c r="DA86" s="54">
        <v>1.6875</v>
      </c>
      <c r="DB86" s="54">
        <v>6.25</v>
      </c>
      <c r="DC86" s="649">
        <f t="shared" si="34"/>
        <v>4.94</v>
      </c>
    </row>
    <row r="87" spans="1:107" ht="12.75">
      <c r="A87" s="24" t="s">
        <v>1197</v>
      </c>
      <c r="B87" s="69" t="s">
        <v>1197</v>
      </c>
      <c r="C87" s="636" t="s">
        <v>865</v>
      </c>
      <c r="D87" s="373">
        <v>60</v>
      </c>
      <c r="E87" s="374" t="s">
        <v>572</v>
      </c>
      <c r="F87" s="15">
        <v>3</v>
      </c>
      <c r="G87" s="18">
        <v>4</v>
      </c>
      <c r="H87" s="17">
        <v>4</v>
      </c>
      <c r="I87" s="16">
        <v>2</v>
      </c>
      <c r="J87" s="187">
        <v>3</v>
      </c>
      <c r="K87" s="188">
        <v>3</v>
      </c>
      <c r="L87" s="868">
        <v>275</v>
      </c>
      <c r="M87" s="884">
        <v>475</v>
      </c>
      <c r="N87" s="106">
        <v>400</v>
      </c>
      <c r="O87" s="454">
        <v>20</v>
      </c>
      <c r="P87" s="531">
        <v>20</v>
      </c>
      <c r="Q87" s="340">
        <v>1094</v>
      </c>
      <c r="R87" s="98">
        <v>485</v>
      </c>
      <c r="S87" s="326">
        <f t="shared" si="41"/>
        <v>1005.2458593749998</v>
      </c>
      <c r="T87" s="342">
        <v>11230</v>
      </c>
      <c r="U87" s="343">
        <v>107000</v>
      </c>
      <c r="V87" s="344">
        <v>10000</v>
      </c>
      <c r="W87" s="289">
        <v>0.355</v>
      </c>
      <c r="X87" s="340">
        <v>976</v>
      </c>
      <c r="Y87" s="43">
        <v>50</v>
      </c>
      <c r="Z87" s="44">
        <v>10</v>
      </c>
      <c r="AA87" s="44">
        <v>25</v>
      </c>
      <c r="AB87" s="49">
        <v>45</v>
      </c>
      <c r="AC87" s="345">
        <v>1173</v>
      </c>
      <c r="AD87" s="312">
        <v>1250</v>
      </c>
      <c r="AE87" s="292">
        <f t="shared" si="36"/>
        <v>0.9384</v>
      </c>
      <c r="AF87" s="43">
        <v>0</v>
      </c>
      <c r="AG87" s="44">
        <v>50</v>
      </c>
      <c r="AH87" s="44">
        <v>40</v>
      </c>
      <c r="AI87" s="45">
        <v>20</v>
      </c>
      <c r="AJ87" s="5">
        <f t="shared" si="25"/>
        <v>3243</v>
      </c>
      <c r="AK87" s="103" t="str">
        <f t="shared" si="23"/>
        <v>S</v>
      </c>
      <c r="AL87" s="862">
        <v>843</v>
      </c>
      <c r="AM87" s="458">
        <v>301.25</v>
      </c>
      <c r="AN87" s="295">
        <f t="shared" si="37"/>
        <v>2.7983402489626554</v>
      </c>
      <c r="AO87" s="145">
        <v>52</v>
      </c>
      <c r="AP87" s="85" t="s">
        <v>1267</v>
      </c>
      <c r="AQ87" s="297">
        <v>270</v>
      </c>
      <c r="AR87" s="33">
        <v>0</v>
      </c>
      <c r="AS87" s="34">
        <v>14</v>
      </c>
      <c r="AT87" s="34">
        <v>0</v>
      </c>
      <c r="AU87" s="73">
        <v>0</v>
      </c>
      <c r="AV87" s="39">
        <v>125</v>
      </c>
      <c r="AW87" s="143">
        <v>163</v>
      </c>
      <c r="AX87" s="33">
        <v>0</v>
      </c>
      <c r="AY87" s="34">
        <v>5</v>
      </c>
      <c r="AZ87" s="34">
        <v>0</v>
      </c>
      <c r="BA87" s="84">
        <v>0</v>
      </c>
      <c r="BB87" s="586">
        <v>3</v>
      </c>
      <c r="BC87" s="590">
        <v>8.13E-07</v>
      </c>
      <c r="BD87" s="588">
        <f t="shared" si="26"/>
        <v>57.70816835505844</v>
      </c>
      <c r="BE87" s="299"/>
      <c r="BF87" s="300"/>
      <c r="BG87" s="112"/>
      <c r="BH87" s="541"/>
      <c r="BI87" s="301">
        <v>1</v>
      </c>
      <c r="BJ87" s="696" t="s">
        <v>1476</v>
      </c>
      <c r="BK87" s="13" t="s">
        <v>1144</v>
      </c>
      <c r="BL87" s="303" t="s">
        <v>198</v>
      </c>
      <c r="BM87" s="86" t="s">
        <v>1014</v>
      </c>
      <c r="BN87" s="303" t="s">
        <v>104</v>
      </c>
      <c r="BO87" s="86"/>
      <c r="BP87" s="1" t="s">
        <v>1015</v>
      </c>
      <c r="BR87" s="1">
        <v>443</v>
      </c>
      <c r="BS87" s="21">
        <v>620</v>
      </c>
      <c r="BT87" s="605" t="s">
        <v>214</v>
      </c>
      <c r="BU87" s="610">
        <v>4</v>
      </c>
      <c r="BV87" s="601">
        <v>0.8</v>
      </c>
      <c r="BW87" s="329">
        <f t="shared" si="38"/>
        <v>485</v>
      </c>
      <c r="BX87" s="329">
        <f>IF($F87&gt;0,$BW87*$D$208,"")</f>
        <v>618.375</v>
      </c>
      <c r="BY87" s="329">
        <f>IF($F87&gt;1,$BX87*$D$209,"")</f>
        <v>788.4281249999999</v>
      </c>
      <c r="BZ87" s="329">
        <f>IF($F87&gt;2,$BY87*$D$210,"")</f>
        <v>1005.2458593749998</v>
      </c>
      <c r="CA87" s="329">
        <f>IF($F87&gt;3,$BZ87*$D$211,"")</f>
      </c>
      <c r="CB87" s="329">
        <f>IF($F87&gt;4,$CA87*$D$212,"")</f>
      </c>
      <c r="CC87" s="329">
        <f>IF($F87&gt;5,$CB87*$D$213,"")</f>
      </c>
      <c r="CD87" s="329">
        <f>IF($F87&gt;6,$CC87*$D$214,"")</f>
      </c>
      <c r="CE87" s="485" t="s">
        <v>629</v>
      </c>
      <c r="CF87" s="853" t="s">
        <v>919</v>
      </c>
      <c r="CG87" s="440" t="s">
        <v>1372</v>
      </c>
      <c r="CH87" s="305">
        <v>2875000</v>
      </c>
      <c r="CI87" s="305">
        <f t="shared" si="39"/>
        <v>862500</v>
      </c>
      <c r="CJ87" s="306">
        <f t="shared" si="40"/>
        <v>2012500</v>
      </c>
      <c r="CK87" s="307" t="e">
        <f>CJ87-#REF!</f>
        <v>#REF!</v>
      </c>
      <c r="CL87" s="592">
        <v>2875000</v>
      </c>
      <c r="CM87" s="21">
        <f t="shared" si="27"/>
        <v>1</v>
      </c>
      <c r="CN87" s="21">
        <f t="shared" si="28"/>
        <v>3.3333333333333335</v>
      </c>
      <c r="CO87" s="54"/>
      <c r="CP87" s="622">
        <f t="shared" si="29"/>
        <v>130</v>
      </c>
      <c r="CQ87" s="623">
        <f t="shared" si="30"/>
        <v>110</v>
      </c>
      <c r="CR87" s="624" t="str">
        <f t="shared" si="31"/>
        <v>S</v>
      </c>
      <c r="CS87" s="634">
        <f t="shared" si="32"/>
        <v>163</v>
      </c>
      <c r="CT87" s="591">
        <f t="shared" si="35"/>
        <v>11230000</v>
      </c>
      <c r="CU87" s="591">
        <f t="shared" si="33"/>
        <v>203.75</v>
      </c>
      <c r="CV87" s="591">
        <v>15000</v>
      </c>
      <c r="CW87" s="54"/>
      <c r="CX87" s="54"/>
      <c r="CY87" s="54"/>
      <c r="CZ87" s="54"/>
      <c r="DA87" s="54">
        <v>1.6875</v>
      </c>
      <c r="DB87" s="54">
        <v>6.25</v>
      </c>
      <c r="DC87" s="649">
        <f t="shared" si="34"/>
        <v>3.9866499999999996</v>
      </c>
    </row>
    <row r="88" spans="1:107" ht="12.75">
      <c r="A88" s="24" t="s">
        <v>1721</v>
      </c>
      <c r="B88" s="69" t="s">
        <v>1721</v>
      </c>
      <c r="C88" s="315" t="s">
        <v>1042</v>
      </c>
      <c r="D88" s="373">
        <v>60</v>
      </c>
      <c r="E88" s="374" t="s">
        <v>572</v>
      </c>
      <c r="F88" s="15">
        <v>3</v>
      </c>
      <c r="G88" s="739">
        <v>5</v>
      </c>
      <c r="H88" s="17">
        <v>4</v>
      </c>
      <c r="I88" s="16">
        <v>2</v>
      </c>
      <c r="J88" s="741">
        <v>3</v>
      </c>
      <c r="K88" s="188">
        <v>3</v>
      </c>
      <c r="L88" s="869">
        <v>325</v>
      </c>
      <c r="M88" s="884">
        <v>575</v>
      </c>
      <c r="N88" s="106">
        <v>400</v>
      </c>
      <c r="O88" s="454">
        <v>40</v>
      </c>
      <c r="P88" s="531">
        <v>40</v>
      </c>
      <c r="Q88" s="340">
        <v>1289</v>
      </c>
      <c r="R88" s="98">
        <v>320</v>
      </c>
      <c r="S88" s="326">
        <f t="shared" si="41"/>
        <v>663.2549999999999</v>
      </c>
      <c r="T88" s="342">
        <v>12070</v>
      </c>
      <c r="U88" s="343">
        <v>116000</v>
      </c>
      <c r="V88" s="344">
        <v>10000</v>
      </c>
      <c r="W88" s="289">
        <v>0.395</v>
      </c>
      <c r="X88" s="340">
        <v>1289</v>
      </c>
      <c r="Y88" s="43">
        <v>50</v>
      </c>
      <c r="Z88" s="44">
        <v>10</v>
      </c>
      <c r="AA88" s="44">
        <v>35</v>
      </c>
      <c r="AB88" s="49">
        <v>35</v>
      </c>
      <c r="AC88" s="345">
        <v>1173</v>
      </c>
      <c r="AD88" s="312">
        <v>1250</v>
      </c>
      <c r="AE88" s="292">
        <f t="shared" si="36"/>
        <v>0.9384</v>
      </c>
      <c r="AF88" s="43">
        <v>0</v>
      </c>
      <c r="AG88" s="44">
        <v>50</v>
      </c>
      <c r="AH88" s="44">
        <v>40</v>
      </c>
      <c r="AI88" s="45">
        <v>20</v>
      </c>
      <c r="AJ88" s="5">
        <f t="shared" si="25"/>
        <v>3751</v>
      </c>
      <c r="AK88" s="103" t="str">
        <f t="shared" si="23"/>
        <v>~</v>
      </c>
      <c r="AL88" s="862">
        <v>1125</v>
      </c>
      <c r="AM88" s="458">
        <v>400</v>
      </c>
      <c r="AN88" s="295">
        <f t="shared" si="37"/>
        <v>2.8125</v>
      </c>
      <c r="AO88" s="145">
        <v>65</v>
      </c>
      <c r="AP88" s="85" t="s">
        <v>465</v>
      </c>
      <c r="AQ88" s="297">
        <v>250</v>
      </c>
      <c r="AR88" s="33">
        <v>0</v>
      </c>
      <c r="AS88" s="34">
        <v>0</v>
      </c>
      <c r="AT88" s="34">
        <v>18</v>
      </c>
      <c r="AU88" s="73">
        <v>0</v>
      </c>
      <c r="AV88" s="39">
        <v>135</v>
      </c>
      <c r="AW88" s="143">
        <v>181</v>
      </c>
      <c r="AX88" s="33">
        <v>0</v>
      </c>
      <c r="AY88" s="34">
        <v>0</v>
      </c>
      <c r="AZ88" s="34">
        <v>6</v>
      </c>
      <c r="BA88" s="84">
        <v>0</v>
      </c>
      <c r="BB88" s="586">
        <v>3</v>
      </c>
      <c r="BC88" s="590">
        <v>8.13E-07</v>
      </c>
      <c r="BD88" s="588">
        <f t="shared" si="26"/>
        <v>71.6530570442407</v>
      </c>
      <c r="BE88" s="299"/>
      <c r="BF88" s="300"/>
      <c r="BG88" s="112"/>
      <c r="BH88" s="541"/>
      <c r="BI88" s="301">
        <v>2</v>
      </c>
      <c r="BJ88" s="696" t="s">
        <v>1476</v>
      </c>
      <c r="BK88" s="13" t="s">
        <v>181</v>
      </c>
      <c r="BL88" s="303" t="s">
        <v>256</v>
      </c>
      <c r="BM88" s="86" t="s">
        <v>1738</v>
      </c>
      <c r="BN88" s="303" t="s">
        <v>104</v>
      </c>
      <c r="BO88" s="86"/>
      <c r="BP88" s="1" t="s">
        <v>1739</v>
      </c>
      <c r="BR88" s="1">
        <v>226</v>
      </c>
      <c r="BS88" s="21">
        <v>633</v>
      </c>
      <c r="BT88" s="605"/>
      <c r="BU88" s="600">
        <v>3.75</v>
      </c>
      <c r="BV88" s="601">
        <v>1.6</v>
      </c>
      <c r="BW88" s="329">
        <f t="shared" si="38"/>
        <v>320</v>
      </c>
      <c r="BX88" s="329">
        <f>IF($F88&gt;0,$BW88*$D$208,"")</f>
        <v>408</v>
      </c>
      <c r="BY88" s="329">
        <f>IF($F88&gt;1,$BX88*$D$209,"")</f>
        <v>520.1999999999999</v>
      </c>
      <c r="BZ88" s="329">
        <f>IF($F88&gt;2,$BY88*$D$210,"")</f>
        <v>663.2549999999999</v>
      </c>
      <c r="CA88" s="329">
        <f>IF($F88&gt;3,$BZ88*$D$211,"")</f>
      </c>
      <c r="CB88" s="329">
        <f>IF($F88&gt;4,$CA88*$D$212,"")</f>
      </c>
      <c r="CC88" s="329">
        <f>IF($F88&gt;5,$CB88*$D$213,"")</f>
      </c>
      <c r="CD88" s="329">
        <f>IF($F88&gt;6,$CC88*$D$214,"")</f>
      </c>
      <c r="CE88" s="485" t="s">
        <v>1326</v>
      </c>
      <c r="CF88" s="853" t="s">
        <v>919</v>
      </c>
      <c r="CG88" s="440" t="s">
        <v>1587</v>
      </c>
      <c r="CH88" s="305">
        <v>3457500</v>
      </c>
      <c r="CI88" s="305">
        <f t="shared" si="39"/>
        <v>1037250</v>
      </c>
      <c r="CJ88" s="306">
        <f t="shared" si="40"/>
        <v>2420250</v>
      </c>
      <c r="CK88" s="307" t="e">
        <f>CJ88-#REF!</f>
        <v>#REF!</v>
      </c>
      <c r="CL88" s="592">
        <v>3457500</v>
      </c>
      <c r="CM88" s="21">
        <f t="shared" si="27"/>
        <v>1</v>
      </c>
      <c r="CN88" s="21">
        <f t="shared" si="28"/>
        <v>3.3333333333333335</v>
      </c>
      <c r="CO88" s="54"/>
      <c r="CP88" s="625">
        <f t="shared" si="29"/>
        <v>130</v>
      </c>
      <c r="CQ88" s="623">
        <f t="shared" si="30"/>
        <v>110</v>
      </c>
      <c r="CR88" s="624" t="str">
        <f t="shared" si="31"/>
        <v>~</v>
      </c>
      <c r="CS88" s="634">
        <f t="shared" si="32"/>
        <v>181</v>
      </c>
      <c r="CT88" s="591">
        <f t="shared" si="35"/>
        <v>12070000</v>
      </c>
      <c r="CU88" s="591">
        <f t="shared" si="33"/>
        <v>226.25</v>
      </c>
      <c r="CV88" s="591">
        <v>15000</v>
      </c>
      <c r="CW88" s="54"/>
      <c r="CX88" s="54"/>
      <c r="CY88" s="54"/>
      <c r="CZ88" s="54"/>
      <c r="DA88" s="54">
        <v>1.6875</v>
      </c>
      <c r="DB88" s="54">
        <v>6.25</v>
      </c>
      <c r="DC88" s="649">
        <f t="shared" si="34"/>
        <v>4.767650000000001</v>
      </c>
    </row>
    <row r="89" spans="1:107" ht="12.75">
      <c r="A89" s="24" t="s">
        <v>1496</v>
      </c>
      <c r="B89" s="69" t="s">
        <v>1496</v>
      </c>
      <c r="C89" s="315" t="s">
        <v>1042</v>
      </c>
      <c r="D89" s="373">
        <v>60</v>
      </c>
      <c r="E89" s="374" t="s">
        <v>572</v>
      </c>
      <c r="F89" s="15">
        <v>3</v>
      </c>
      <c r="G89" s="18">
        <v>4</v>
      </c>
      <c r="H89" s="17">
        <v>4</v>
      </c>
      <c r="I89" s="16">
        <v>0</v>
      </c>
      <c r="J89" s="187">
        <v>4</v>
      </c>
      <c r="K89" s="188">
        <v>3</v>
      </c>
      <c r="L89" s="868">
        <v>250</v>
      </c>
      <c r="M89" s="884">
        <v>500</v>
      </c>
      <c r="N89" s="106">
        <v>400</v>
      </c>
      <c r="O89" s="454">
        <v>40</v>
      </c>
      <c r="P89" s="531">
        <v>40</v>
      </c>
      <c r="Q89" s="340">
        <v>1094</v>
      </c>
      <c r="R89" s="812">
        <v>600</v>
      </c>
      <c r="S89" s="813">
        <f t="shared" si="41"/>
        <v>1243.6031249999999</v>
      </c>
      <c r="T89" s="342">
        <v>11020</v>
      </c>
      <c r="U89" s="343">
        <v>113000</v>
      </c>
      <c r="V89" s="344">
        <v>10000</v>
      </c>
      <c r="W89" s="289">
        <v>0.425</v>
      </c>
      <c r="X89" s="148">
        <v>1173</v>
      </c>
      <c r="Y89" s="43">
        <v>50</v>
      </c>
      <c r="Z89" s="44">
        <v>10</v>
      </c>
      <c r="AA89" s="44">
        <v>35</v>
      </c>
      <c r="AB89" s="49">
        <v>35</v>
      </c>
      <c r="AC89" s="345">
        <v>899</v>
      </c>
      <c r="AD89" s="312">
        <v>1250</v>
      </c>
      <c r="AE89" s="292">
        <f t="shared" si="36"/>
        <v>0.7192</v>
      </c>
      <c r="AF89" s="43">
        <v>0</v>
      </c>
      <c r="AG89" s="44">
        <v>50</v>
      </c>
      <c r="AH89" s="44">
        <v>40</v>
      </c>
      <c r="AI89" s="45">
        <v>20</v>
      </c>
      <c r="AJ89" s="5">
        <f t="shared" si="25"/>
        <v>3166</v>
      </c>
      <c r="AK89" s="103" t="str">
        <f t="shared" si="23"/>
        <v>A</v>
      </c>
      <c r="AL89" s="862">
        <v>1000</v>
      </c>
      <c r="AM89" s="458">
        <v>356.25</v>
      </c>
      <c r="AN89" s="295">
        <f t="shared" si="37"/>
        <v>2.807017543859649</v>
      </c>
      <c r="AO89" s="145">
        <v>47</v>
      </c>
      <c r="AP89" s="85" t="s">
        <v>1267</v>
      </c>
      <c r="AQ89" s="297">
        <v>280</v>
      </c>
      <c r="AR89" s="33">
        <v>0</v>
      </c>
      <c r="AS89" s="34">
        <v>0</v>
      </c>
      <c r="AT89" s="34">
        <v>13</v>
      </c>
      <c r="AU89" s="73">
        <v>0</v>
      </c>
      <c r="AV89" s="39">
        <v>120</v>
      </c>
      <c r="AW89" s="143">
        <v>159</v>
      </c>
      <c r="AX89" s="33">
        <v>0</v>
      </c>
      <c r="AY89" s="34">
        <v>0</v>
      </c>
      <c r="AZ89" s="34">
        <v>6</v>
      </c>
      <c r="BA89" s="84">
        <v>0</v>
      </c>
      <c r="BB89" s="586">
        <v>3</v>
      </c>
      <c r="BC89" s="590">
        <v>8.13E-07</v>
      </c>
      <c r="BD89" s="588">
        <f t="shared" si="26"/>
        <v>69.76022573292883</v>
      </c>
      <c r="BE89" s="299"/>
      <c r="BF89" s="300"/>
      <c r="BG89" s="112"/>
      <c r="BH89" s="541"/>
      <c r="BI89" s="301">
        <v>1</v>
      </c>
      <c r="BJ89" s="696" t="s">
        <v>1476</v>
      </c>
      <c r="BK89" s="13" t="s">
        <v>160</v>
      </c>
      <c r="BL89" s="303" t="s">
        <v>1361</v>
      </c>
      <c r="BM89" s="86" t="s">
        <v>362</v>
      </c>
      <c r="BN89" s="303" t="s">
        <v>104</v>
      </c>
      <c r="BO89" s="86"/>
      <c r="BP89" s="1" t="s">
        <v>606</v>
      </c>
      <c r="BR89" s="1">
        <v>492</v>
      </c>
      <c r="BS89" s="21">
        <v>634</v>
      </c>
      <c r="BT89" s="605" t="s">
        <v>214</v>
      </c>
      <c r="BU89" s="610">
        <v>4</v>
      </c>
      <c r="BV89" s="601">
        <v>1.6</v>
      </c>
      <c r="BW89" s="377">
        <f>$R89+$R89*0.1*$H214</f>
        <v>600</v>
      </c>
      <c r="BX89" s="329">
        <f>IF($F89&gt;0,$BW89*$D$208,"")</f>
        <v>765</v>
      </c>
      <c r="BY89" s="329">
        <f>IF($F89&gt;1,$BX89*$D$209,"")</f>
        <v>975.3749999999999</v>
      </c>
      <c r="BZ89" s="329">
        <f>IF($F89&gt;2,$BY89*$D$210,"")</f>
        <v>1243.6031249999999</v>
      </c>
      <c r="CA89" s="329">
        <f>IF($F89&gt;3,$BZ89*$D$211,"")</f>
      </c>
      <c r="CB89" s="329">
        <f>IF($F89&gt;4,$CA89*$D$212,"")</f>
      </c>
      <c r="CC89" s="329">
        <f>IF($F89&gt;5,$CB89*$D$213,"")</f>
      </c>
      <c r="CD89" s="329">
        <f>IF($F89&gt;6,$CC89*$D$214,"")</f>
      </c>
      <c r="CE89" s="485" t="s">
        <v>343</v>
      </c>
      <c r="CF89" s="853" t="s">
        <v>919</v>
      </c>
      <c r="CG89" s="440" t="s">
        <v>1588</v>
      </c>
      <c r="CH89" s="305">
        <v>2962500</v>
      </c>
      <c r="CI89" s="305">
        <f t="shared" si="39"/>
        <v>888750</v>
      </c>
      <c r="CJ89" s="306">
        <f t="shared" si="40"/>
        <v>2073750</v>
      </c>
      <c r="CK89" s="307" t="e">
        <f>CJ89-#REF!</f>
        <v>#REF!</v>
      </c>
      <c r="CL89" s="592">
        <v>2962500</v>
      </c>
      <c r="CM89" s="21">
        <f t="shared" si="27"/>
        <v>1</v>
      </c>
      <c r="CN89" s="21">
        <f t="shared" si="28"/>
        <v>3.3333333333333335</v>
      </c>
      <c r="CO89" s="54"/>
      <c r="CP89" s="625">
        <f t="shared" si="29"/>
        <v>130</v>
      </c>
      <c r="CQ89" s="626">
        <f t="shared" si="30"/>
        <v>110</v>
      </c>
      <c r="CR89" s="624" t="str">
        <f t="shared" si="31"/>
        <v>A</v>
      </c>
      <c r="CS89" s="634">
        <f t="shared" si="32"/>
        <v>159</v>
      </c>
      <c r="CT89" s="591">
        <f t="shared" si="35"/>
        <v>11020000</v>
      </c>
      <c r="CU89" s="591">
        <f t="shared" si="33"/>
        <v>198.75</v>
      </c>
      <c r="CV89" s="591">
        <v>15000</v>
      </c>
      <c r="CW89" s="54"/>
      <c r="CX89" s="54"/>
      <c r="CY89" s="54"/>
      <c r="CZ89" s="54"/>
      <c r="DA89" s="54">
        <v>1.6875</v>
      </c>
      <c r="DB89" s="54">
        <v>6.25</v>
      </c>
      <c r="DC89" s="649">
        <f t="shared" si="34"/>
        <v>4.6835</v>
      </c>
    </row>
    <row r="90" spans="1:107" ht="12.75">
      <c r="A90" s="24" t="s">
        <v>141</v>
      </c>
      <c r="B90" s="69" t="s">
        <v>141</v>
      </c>
      <c r="C90" s="315" t="s">
        <v>1042</v>
      </c>
      <c r="D90" s="373">
        <v>60</v>
      </c>
      <c r="E90" s="374" t="s">
        <v>572</v>
      </c>
      <c r="F90" s="15">
        <v>5</v>
      </c>
      <c r="G90" s="18">
        <v>3</v>
      </c>
      <c r="H90" s="17">
        <v>5</v>
      </c>
      <c r="I90" s="16">
        <v>0</v>
      </c>
      <c r="J90" s="737">
        <v>5</v>
      </c>
      <c r="K90" s="188">
        <v>3</v>
      </c>
      <c r="L90" s="868">
        <v>300</v>
      </c>
      <c r="M90" s="884">
        <v>820</v>
      </c>
      <c r="N90" s="106">
        <v>400</v>
      </c>
      <c r="O90" s="454">
        <v>50</v>
      </c>
      <c r="P90" s="531">
        <v>50</v>
      </c>
      <c r="Q90" s="340">
        <v>1875</v>
      </c>
      <c r="R90" s="98">
        <v>265</v>
      </c>
      <c r="S90" s="326">
        <f t="shared" si="41"/>
        <v>892.8876124511715</v>
      </c>
      <c r="T90" s="342">
        <v>11280</v>
      </c>
      <c r="U90" s="343">
        <v>112000</v>
      </c>
      <c r="V90" s="344">
        <v>10000</v>
      </c>
      <c r="W90" s="289">
        <v>0.405</v>
      </c>
      <c r="X90" s="340">
        <v>1641</v>
      </c>
      <c r="Y90" s="43">
        <v>50</v>
      </c>
      <c r="Z90" s="44">
        <v>10</v>
      </c>
      <c r="AA90" s="44">
        <v>35</v>
      </c>
      <c r="AB90" s="49">
        <v>35</v>
      </c>
      <c r="AC90" s="345">
        <v>1524</v>
      </c>
      <c r="AD90" s="312">
        <v>1250</v>
      </c>
      <c r="AE90" s="292">
        <f t="shared" si="36"/>
        <v>1.2192</v>
      </c>
      <c r="AF90" s="43">
        <v>0</v>
      </c>
      <c r="AG90" s="44">
        <v>50</v>
      </c>
      <c r="AH90" s="44">
        <v>40</v>
      </c>
      <c r="AI90" s="45">
        <v>20</v>
      </c>
      <c r="AJ90" s="5">
        <f t="shared" si="25"/>
        <v>5040</v>
      </c>
      <c r="AK90" s="103" t="str">
        <f t="shared" si="23"/>
        <v>~</v>
      </c>
      <c r="AL90" s="862">
        <v>1375</v>
      </c>
      <c r="AM90" s="458">
        <v>491.25</v>
      </c>
      <c r="AN90" s="295">
        <f t="shared" si="37"/>
        <v>2.7989821882951653</v>
      </c>
      <c r="AO90" s="145">
        <v>55</v>
      </c>
      <c r="AP90" s="85" t="s">
        <v>465</v>
      </c>
      <c r="AQ90" s="297">
        <v>225</v>
      </c>
      <c r="AR90" s="33">
        <v>0</v>
      </c>
      <c r="AS90" s="34">
        <v>0</v>
      </c>
      <c r="AT90" s="34">
        <v>15</v>
      </c>
      <c r="AU90" s="73">
        <v>0</v>
      </c>
      <c r="AV90" s="39">
        <v>140</v>
      </c>
      <c r="AW90" s="923">
        <v>170</v>
      </c>
      <c r="AX90" s="33">
        <v>0</v>
      </c>
      <c r="AY90" s="34">
        <v>0</v>
      </c>
      <c r="AZ90" s="34">
        <v>7</v>
      </c>
      <c r="BA90" s="84">
        <v>0</v>
      </c>
      <c r="BB90" s="586">
        <v>3</v>
      </c>
      <c r="BC90" s="590">
        <v>8.13E-07</v>
      </c>
      <c r="BD90" s="588">
        <f t="shared" si="26"/>
        <v>93.70938124274859</v>
      </c>
      <c r="BE90" s="299"/>
      <c r="BF90" s="300"/>
      <c r="BG90" s="112"/>
      <c r="BH90" s="541"/>
      <c r="BI90" s="301">
        <v>4</v>
      </c>
      <c r="BJ90" s="696" t="s">
        <v>1476</v>
      </c>
      <c r="BK90" s="13" t="s">
        <v>136</v>
      </c>
      <c r="BL90" s="303" t="s">
        <v>608</v>
      </c>
      <c r="BM90" s="86" t="s">
        <v>1098</v>
      </c>
      <c r="BN90" s="303" t="s">
        <v>104</v>
      </c>
      <c r="BO90" s="86"/>
      <c r="BP90" s="1" t="s">
        <v>415</v>
      </c>
      <c r="BR90" s="1">
        <v>334</v>
      </c>
      <c r="BS90" s="21">
        <v>627</v>
      </c>
      <c r="BT90" s="605"/>
      <c r="BU90" s="600">
        <v>6.25</v>
      </c>
      <c r="BV90" s="601">
        <v>2</v>
      </c>
      <c r="BW90" s="329">
        <f aca="true" t="shared" si="42" ref="BW90:BW136">$R90</f>
        <v>265</v>
      </c>
      <c r="BX90" s="329">
        <f>IF($F90&gt;0,$BW90*$D$208,"")</f>
        <v>337.875</v>
      </c>
      <c r="BY90" s="329">
        <f>IF($F90&gt;1,$BX90*$D$209,"")</f>
        <v>430.790625</v>
      </c>
      <c r="BZ90" s="329">
        <f>IF($F90&gt;2,$BY90*$D$210,"")</f>
        <v>549.2580468749999</v>
      </c>
      <c r="CA90" s="329">
        <f>IF($F90&gt;3,$BZ90*$D$211,"")</f>
        <v>700.3040097656248</v>
      </c>
      <c r="CB90" s="329">
        <f>IF($F90&gt;4,$CA90*$D$212,"")</f>
        <v>892.8876124511715</v>
      </c>
      <c r="CC90" s="329">
        <f>IF($F90&gt;5,$CB90*$D$213,"")</f>
      </c>
      <c r="CD90" s="329">
        <f>IF($F90&gt;6,$CC90*$D$214,"")</f>
      </c>
      <c r="CE90" s="485" t="s">
        <v>1182</v>
      </c>
      <c r="CF90" s="853" t="s">
        <v>919</v>
      </c>
      <c r="CG90" s="440" t="s">
        <v>1589</v>
      </c>
      <c r="CH90" s="305">
        <v>7400000</v>
      </c>
      <c r="CI90" s="305">
        <f t="shared" si="39"/>
        <v>2220000</v>
      </c>
      <c r="CJ90" s="306">
        <f t="shared" si="40"/>
        <v>5180000</v>
      </c>
      <c r="CK90" s="307" t="e">
        <f>CJ90-#REF!</f>
        <v>#REF!</v>
      </c>
      <c r="CL90" s="592">
        <v>7400000</v>
      </c>
      <c r="CM90" s="21">
        <f t="shared" si="27"/>
        <v>1</v>
      </c>
      <c r="CN90" s="21">
        <f t="shared" si="28"/>
        <v>3.3333333333333335</v>
      </c>
      <c r="CO90" s="54"/>
      <c r="CP90" s="625">
        <f t="shared" si="29"/>
        <v>130</v>
      </c>
      <c r="CQ90" s="623">
        <f t="shared" si="30"/>
        <v>110</v>
      </c>
      <c r="CR90" s="624" t="str">
        <f t="shared" si="31"/>
        <v>~</v>
      </c>
      <c r="CS90" s="634">
        <f t="shared" si="32"/>
        <v>170</v>
      </c>
      <c r="CT90" s="591">
        <f t="shared" si="35"/>
        <v>11280000</v>
      </c>
      <c r="CU90" s="591">
        <f t="shared" si="33"/>
        <v>212.5</v>
      </c>
      <c r="CV90" s="591">
        <v>15000</v>
      </c>
      <c r="CW90" s="54"/>
      <c r="CX90" s="54"/>
      <c r="CY90" s="54"/>
      <c r="CZ90" s="54"/>
      <c r="DA90" s="54">
        <v>1.6875</v>
      </c>
      <c r="DB90" s="54">
        <v>6.25</v>
      </c>
      <c r="DC90" s="649">
        <f t="shared" si="34"/>
        <v>4.5684000000000005</v>
      </c>
    </row>
    <row r="91" spans="1:107" ht="12.75">
      <c r="A91" s="24" t="s">
        <v>1444</v>
      </c>
      <c r="B91" s="69" t="s">
        <v>1444</v>
      </c>
      <c r="C91" s="315" t="s">
        <v>1042</v>
      </c>
      <c r="D91" s="373">
        <v>60</v>
      </c>
      <c r="E91" s="374" t="s">
        <v>572</v>
      </c>
      <c r="F91" s="15">
        <v>4</v>
      </c>
      <c r="G91" s="18">
        <v>3</v>
      </c>
      <c r="H91" s="17">
        <v>5</v>
      </c>
      <c r="I91" s="16">
        <v>0</v>
      </c>
      <c r="J91" s="186">
        <v>4</v>
      </c>
      <c r="K91" s="188">
        <v>3</v>
      </c>
      <c r="L91" s="868">
        <v>270</v>
      </c>
      <c r="M91" s="884">
        <v>675</v>
      </c>
      <c r="N91" s="106">
        <v>400</v>
      </c>
      <c r="O91" s="455">
        <v>100</v>
      </c>
      <c r="P91" s="743">
        <v>75</v>
      </c>
      <c r="Q91" s="340">
        <v>1485</v>
      </c>
      <c r="R91" s="98">
        <v>480</v>
      </c>
      <c r="S91" s="326">
        <f t="shared" si="41"/>
        <v>1268.4751874999997</v>
      </c>
      <c r="T91" s="342">
        <v>10310</v>
      </c>
      <c r="U91" s="343">
        <v>115000</v>
      </c>
      <c r="V91" s="344">
        <v>10000</v>
      </c>
      <c r="W91" s="289">
        <v>0.42</v>
      </c>
      <c r="X91" s="340">
        <v>1485</v>
      </c>
      <c r="Y91" s="43">
        <v>50</v>
      </c>
      <c r="Z91" s="44">
        <v>10</v>
      </c>
      <c r="AA91" s="44">
        <v>35</v>
      </c>
      <c r="AB91" s="49">
        <v>35</v>
      </c>
      <c r="AC91" s="345">
        <v>1173</v>
      </c>
      <c r="AD91" s="312">
        <v>1250</v>
      </c>
      <c r="AE91" s="292">
        <f t="shared" si="36"/>
        <v>0.9384</v>
      </c>
      <c r="AF91" s="43">
        <v>0</v>
      </c>
      <c r="AG91" s="44">
        <v>50</v>
      </c>
      <c r="AH91" s="44">
        <v>40</v>
      </c>
      <c r="AI91" s="45">
        <v>20</v>
      </c>
      <c r="AJ91" s="5">
        <f t="shared" si="25"/>
        <v>4143</v>
      </c>
      <c r="AK91" s="103" t="str">
        <f t="shared" si="23"/>
        <v>A</v>
      </c>
      <c r="AL91" s="862">
        <v>1250</v>
      </c>
      <c r="AM91" s="458">
        <v>446.25</v>
      </c>
      <c r="AN91" s="295">
        <f t="shared" si="37"/>
        <v>2.8011204481792715</v>
      </c>
      <c r="AO91" s="145">
        <v>52</v>
      </c>
      <c r="AP91" s="85" t="s">
        <v>1267</v>
      </c>
      <c r="AQ91" s="297">
        <v>240</v>
      </c>
      <c r="AR91" s="33">
        <v>0</v>
      </c>
      <c r="AS91" s="34">
        <v>0</v>
      </c>
      <c r="AT91" s="34">
        <v>14</v>
      </c>
      <c r="AU91" s="73">
        <v>0</v>
      </c>
      <c r="AV91" s="39">
        <v>150</v>
      </c>
      <c r="AW91" s="143">
        <v>159</v>
      </c>
      <c r="AX91" s="33">
        <v>0</v>
      </c>
      <c r="AY91" s="34">
        <v>0</v>
      </c>
      <c r="AZ91" s="34">
        <v>6</v>
      </c>
      <c r="BA91" s="84">
        <v>0</v>
      </c>
      <c r="BB91" s="586">
        <v>3</v>
      </c>
      <c r="BC91" s="590">
        <v>8.13E-07</v>
      </c>
      <c r="BD91" s="588">
        <f t="shared" si="26"/>
        <v>93.20534524452907</v>
      </c>
      <c r="BE91" s="299"/>
      <c r="BF91" s="300"/>
      <c r="BG91" s="112"/>
      <c r="BH91" s="541"/>
      <c r="BI91" s="301">
        <v>3</v>
      </c>
      <c r="BJ91" s="696" t="s">
        <v>1476</v>
      </c>
      <c r="BK91" s="13" t="s">
        <v>1150</v>
      </c>
      <c r="BL91" s="303" t="s">
        <v>668</v>
      </c>
      <c r="BM91" s="86" t="s">
        <v>1316</v>
      </c>
      <c r="BN91" s="303" t="s">
        <v>104</v>
      </c>
      <c r="BO91" s="86"/>
      <c r="BP91" s="1" t="s">
        <v>417</v>
      </c>
      <c r="BR91" s="1">
        <v>280</v>
      </c>
      <c r="BS91" s="21">
        <v>626</v>
      </c>
      <c r="BT91" s="605"/>
      <c r="BU91" s="600">
        <v>5</v>
      </c>
      <c r="BV91" s="601">
        <v>4.5</v>
      </c>
      <c r="BW91" s="329">
        <f t="shared" si="42"/>
        <v>480</v>
      </c>
      <c r="BX91" s="329">
        <f>IF($F91&gt;0,$BW91*$D$208,"")</f>
        <v>612</v>
      </c>
      <c r="BY91" s="329">
        <f>IF($F91&gt;1,$BX91*$D$209,"")</f>
        <v>780.3</v>
      </c>
      <c r="BZ91" s="329">
        <f>IF($F91&gt;2,$BY91*$D$210,"")</f>
        <v>994.8824999999998</v>
      </c>
      <c r="CA91" s="329">
        <f>IF($F91&gt;3,$BZ91*$D$211,"")</f>
        <v>1268.4751874999997</v>
      </c>
      <c r="CB91" s="329">
        <f>IF($F91&gt;4,$CA91*$D$212,"")</f>
      </c>
      <c r="CC91" s="329">
        <f>IF($F91&gt;5,$CB91*$D$213,"")</f>
      </c>
      <c r="CD91" s="329">
        <f>IF($F91&gt;6,$CC91*$D$214,"")</f>
      </c>
      <c r="CE91" s="485" t="s">
        <v>849</v>
      </c>
      <c r="CF91" s="853" t="s">
        <v>919</v>
      </c>
      <c r="CG91" s="440" t="s">
        <v>1590</v>
      </c>
      <c r="CH91" s="305">
        <v>4377500</v>
      </c>
      <c r="CI91" s="305">
        <f t="shared" si="39"/>
        <v>1313250</v>
      </c>
      <c r="CJ91" s="306">
        <f t="shared" si="40"/>
        <v>3064250</v>
      </c>
      <c r="CK91" s="307" t="e">
        <f>CJ91-#REF!</f>
        <v>#REF!</v>
      </c>
      <c r="CL91" s="592">
        <v>4377500</v>
      </c>
      <c r="CM91" s="21">
        <f t="shared" si="27"/>
        <v>1</v>
      </c>
      <c r="CN91" s="21">
        <f t="shared" si="28"/>
        <v>3.3333333333333335</v>
      </c>
      <c r="CO91" s="54"/>
      <c r="CP91" s="625">
        <f t="shared" si="29"/>
        <v>130</v>
      </c>
      <c r="CQ91" s="626">
        <f t="shared" si="30"/>
        <v>110</v>
      </c>
      <c r="CR91" s="624" t="str">
        <f t="shared" si="31"/>
        <v>A</v>
      </c>
      <c r="CS91" s="634">
        <f t="shared" si="32"/>
        <v>159</v>
      </c>
      <c r="CT91" s="591">
        <f>T91*1000</f>
        <v>10310000</v>
      </c>
      <c r="CU91" s="591">
        <f t="shared" si="33"/>
        <v>198.75</v>
      </c>
      <c r="CV91" s="591">
        <v>15000</v>
      </c>
      <c r="CW91" s="54"/>
      <c r="CX91" s="54"/>
      <c r="CY91" s="54"/>
      <c r="CZ91" s="54"/>
      <c r="DA91" s="54">
        <v>1.6875</v>
      </c>
      <c r="DB91" s="54">
        <v>6.25</v>
      </c>
      <c r="DC91" s="649">
        <f t="shared" si="34"/>
        <v>4.3302</v>
      </c>
    </row>
    <row r="92" spans="1:107" ht="12.75">
      <c r="A92" s="24" t="s">
        <v>1696</v>
      </c>
      <c r="B92" s="69" t="s">
        <v>1696</v>
      </c>
      <c r="C92" s="319" t="s">
        <v>99</v>
      </c>
      <c r="D92" s="373">
        <v>60</v>
      </c>
      <c r="E92" s="374" t="s">
        <v>572</v>
      </c>
      <c r="F92" s="15">
        <v>3</v>
      </c>
      <c r="G92" s="739">
        <v>4</v>
      </c>
      <c r="H92" s="17">
        <v>5</v>
      </c>
      <c r="I92" s="16">
        <v>3</v>
      </c>
      <c r="J92" s="186">
        <v>3</v>
      </c>
      <c r="K92" s="188">
        <v>3</v>
      </c>
      <c r="L92" s="869">
        <v>250</v>
      </c>
      <c r="M92" s="884">
        <v>575</v>
      </c>
      <c r="N92" s="106">
        <v>400</v>
      </c>
      <c r="O92" s="454">
        <v>40</v>
      </c>
      <c r="P92" s="531">
        <v>40</v>
      </c>
      <c r="Q92" s="340">
        <v>1211</v>
      </c>
      <c r="R92" s="98">
        <v>315</v>
      </c>
      <c r="S92" s="326">
        <f t="shared" si="41"/>
        <v>652.8916406249999</v>
      </c>
      <c r="T92" s="342">
        <v>11550</v>
      </c>
      <c r="U92" s="343">
        <v>85000</v>
      </c>
      <c r="V92" s="344">
        <v>10000</v>
      </c>
      <c r="W92" s="289">
        <v>0.355</v>
      </c>
      <c r="X92" s="340">
        <v>1211</v>
      </c>
      <c r="Y92" s="43">
        <v>60</v>
      </c>
      <c r="Z92" s="44">
        <v>10</v>
      </c>
      <c r="AA92" s="44">
        <v>25</v>
      </c>
      <c r="AB92" s="49">
        <v>35</v>
      </c>
      <c r="AC92" s="345">
        <v>1250</v>
      </c>
      <c r="AD92" s="312">
        <v>1250</v>
      </c>
      <c r="AE92" s="292">
        <f t="shared" si="36"/>
        <v>1</v>
      </c>
      <c r="AF92" s="43">
        <v>0</v>
      </c>
      <c r="AG92" s="44">
        <v>50</v>
      </c>
      <c r="AH92" s="44">
        <v>40</v>
      </c>
      <c r="AI92" s="45">
        <v>20</v>
      </c>
      <c r="AJ92" s="5">
        <f t="shared" si="25"/>
        <v>3672</v>
      </c>
      <c r="AK92" s="103" t="str">
        <f t="shared" si="23"/>
        <v>~</v>
      </c>
      <c r="AL92" s="862">
        <v>937</v>
      </c>
      <c r="AM92" s="458">
        <v>335</v>
      </c>
      <c r="AN92" s="295">
        <f t="shared" si="37"/>
        <v>2.7970149253731345</v>
      </c>
      <c r="AO92" s="145">
        <v>42</v>
      </c>
      <c r="AP92" s="85" t="s">
        <v>462</v>
      </c>
      <c r="AQ92" s="297">
        <v>255</v>
      </c>
      <c r="AR92" s="33">
        <v>0</v>
      </c>
      <c r="AS92" s="34">
        <v>0</v>
      </c>
      <c r="AT92" s="34">
        <v>0</v>
      </c>
      <c r="AU92" s="73">
        <v>11</v>
      </c>
      <c r="AV92" s="39">
        <v>110</v>
      </c>
      <c r="AW92" s="143">
        <v>209</v>
      </c>
      <c r="AX92" s="33">
        <v>0</v>
      </c>
      <c r="AY92" s="34">
        <v>0</v>
      </c>
      <c r="AZ92" s="34">
        <v>0</v>
      </c>
      <c r="BA92" s="84">
        <v>7</v>
      </c>
      <c r="BB92" s="586">
        <v>3</v>
      </c>
      <c r="BC92" s="590">
        <v>8.13E-07</v>
      </c>
      <c r="BD92" s="588">
        <f t="shared" si="26"/>
        <v>62.36588339909373</v>
      </c>
      <c r="BE92" s="299"/>
      <c r="BF92" s="300"/>
      <c r="BG92" s="112"/>
      <c r="BH92" s="541"/>
      <c r="BI92" s="301">
        <v>2</v>
      </c>
      <c r="BJ92" s="696" t="s">
        <v>1476</v>
      </c>
      <c r="BK92" s="13" t="s">
        <v>181</v>
      </c>
      <c r="BL92" s="303" t="s">
        <v>1214</v>
      </c>
      <c r="BM92" s="86" t="s">
        <v>1250</v>
      </c>
      <c r="BN92" s="303" t="s">
        <v>104</v>
      </c>
      <c r="BO92" s="86"/>
      <c r="BP92" s="1" t="s">
        <v>1251</v>
      </c>
      <c r="BR92" s="1">
        <v>262</v>
      </c>
      <c r="BS92" s="21">
        <v>630</v>
      </c>
      <c r="BT92" s="605"/>
      <c r="BU92" s="600">
        <v>3.75</v>
      </c>
      <c r="BV92" s="601">
        <v>1.6</v>
      </c>
      <c r="BW92" s="329">
        <f t="shared" si="42"/>
        <v>315</v>
      </c>
      <c r="BX92" s="329">
        <f>IF($F92&gt;0,$BW92*$D$208,"")</f>
        <v>401.625</v>
      </c>
      <c r="BY92" s="329">
        <f>IF($F92&gt;1,$BX92*$D$209,"")</f>
        <v>512.071875</v>
      </c>
      <c r="BZ92" s="329">
        <f>IF($F92&gt;2,$BY92*$D$210,"")</f>
        <v>652.8916406249999</v>
      </c>
      <c r="CA92" s="329">
        <f>IF($F92&gt;3,$BZ92*$D$211,"")</f>
      </c>
      <c r="CB92" s="329">
        <f>IF($F92&gt;4,$CA92*$D$212,"")</f>
      </c>
      <c r="CC92" s="329">
        <f>IF($F92&gt;5,$CB92*$D$213,"")</f>
      </c>
      <c r="CD92" s="329">
        <f>IF($F92&gt;6,$CC92*$D$214,"")</f>
      </c>
      <c r="CE92" s="485" t="s">
        <v>414</v>
      </c>
      <c r="CF92" s="853" t="s">
        <v>919</v>
      </c>
      <c r="CG92" s="440" t="s">
        <v>1591</v>
      </c>
      <c r="CH92" s="305">
        <v>3542500</v>
      </c>
      <c r="CI92" s="305">
        <f t="shared" si="39"/>
        <v>1062750</v>
      </c>
      <c r="CJ92" s="306">
        <f t="shared" si="40"/>
        <v>2479750</v>
      </c>
      <c r="CK92" s="307" t="e">
        <f>CJ92-#REF!</f>
        <v>#REF!</v>
      </c>
      <c r="CL92" s="592">
        <v>3542500</v>
      </c>
      <c r="CM92" s="21">
        <f t="shared" si="27"/>
        <v>1</v>
      </c>
      <c r="CN92" s="21">
        <f t="shared" si="28"/>
        <v>3.3333333333333335</v>
      </c>
      <c r="CO92" s="54"/>
      <c r="CP92" s="625">
        <f t="shared" si="29"/>
        <v>130</v>
      </c>
      <c r="CQ92" s="623">
        <f t="shared" si="30"/>
        <v>110</v>
      </c>
      <c r="CR92" s="624" t="str">
        <f t="shared" si="31"/>
        <v>~</v>
      </c>
      <c r="CS92" s="634">
        <f t="shared" si="32"/>
        <v>209</v>
      </c>
      <c r="CT92" s="591">
        <f aca="true" t="shared" si="43" ref="CT92:CT155">T92*1000</f>
        <v>11550000</v>
      </c>
      <c r="CU92" s="591">
        <f t="shared" si="33"/>
        <v>261.25</v>
      </c>
      <c r="CV92" s="591">
        <v>15000</v>
      </c>
      <c r="CW92" s="54"/>
      <c r="CX92" s="54"/>
      <c r="CY92" s="54"/>
      <c r="CZ92" s="54"/>
      <c r="DA92" s="54">
        <v>1.6875</v>
      </c>
      <c r="DB92" s="54">
        <v>6.25</v>
      </c>
      <c r="DC92" s="649">
        <f t="shared" si="34"/>
        <v>4.10025</v>
      </c>
    </row>
    <row r="93" spans="1:107" ht="12.75">
      <c r="A93" s="24" t="s">
        <v>1381</v>
      </c>
      <c r="B93" s="69" t="s">
        <v>1381</v>
      </c>
      <c r="C93" s="319" t="s">
        <v>99</v>
      </c>
      <c r="D93" s="373">
        <v>60</v>
      </c>
      <c r="E93" s="374" t="s">
        <v>572</v>
      </c>
      <c r="F93" s="15">
        <v>5</v>
      </c>
      <c r="G93" s="18">
        <v>3</v>
      </c>
      <c r="H93" s="17">
        <v>6</v>
      </c>
      <c r="I93" s="16">
        <v>3</v>
      </c>
      <c r="J93" s="738">
        <v>4</v>
      </c>
      <c r="K93" s="188">
        <v>3</v>
      </c>
      <c r="L93" s="868">
        <v>325</v>
      </c>
      <c r="M93" s="884">
        <v>860</v>
      </c>
      <c r="N93" s="106">
        <v>400</v>
      </c>
      <c r="O93" s="454">
        <v>30</v>
      </c>
      <c r="P93" s="531">
        <v>30</v>
      </c>
      <c r="Q93" s="340">
        <v>1563</v>
      </c>
      <c r="R93" s="98">
        <v>300</v>
      </c>
      <c r="S93" s="326">
        <f t="shared" si="41"/>
        <v>1010.8161650390623</v>
      </c>
      <c r="T93" s="342">
        <v>11650</v>
      </c>
      <c r="U93" s="343">
        <v>96000</v>
      </c>
      <c r="V93" s="344">
        <v>10000</v>
      </c>
      <c r="W93" s="289">
        <v>0.38</v>
      </c>
      <c r="X93" s="340">
        <v>1641</v>
      </c>
      <c r="Y93" s="43">
        <v>60</v>
      </c>
      <c r="Z93" s="44">
        <v>10</v>
      </c>
      <c r="AA93" s="44">
        <v>25</v>
      </c>
      <c r="AB93" s="49">
        <v>35</v>
      </c>
      <c r="AC93" s="345">
        <v>1563</v>
      </c>
      <c r="AD93" s="312">
        <v>1250</v>
      </c>
      <c r="AE93" s="292">
        <f t="shared" si="36"/>
        <v>1.2504</v>
      </c>
      <c r="AF93" s="43">
        <v>0</v>
      </c>
      <c r="AG93" s="44">
        <v>50</v>
      </c>
      <c r="AH93" s="44">
        <v>40</v>
      </c>
      <c r="AI93" s="45">
        <v>20</v>
      </c>
      <c r="AJ93" s="5">
        <f t="shared" si="25"/>
        <v>4767</v>
      </c>
      <c r="AK93" s="103" t="str">
        <f aca="true" t="shared" si="44" ref="AK93:AK128">IF($X93=$AC93,"=",IF(MAX($AC93,$X93)*0.1&gt;ABS($X93-$AC93),"~",IF(MAX($AC93,$X93)=$X93,"A","S")))</f>
        <v>~</v>
      </c>
      <c r="AL93" s="862">
        <v>1250</v>
      </c>
      <c r="AM93" s="458">
        <v>446.25</v>
      </c>
      <c r="AN93" s="295">
        <f t="shared" si="37"/>
        <v>2.8011204481792715</v>
      </c>
      <c r="AO93" s="145">
        <v>45</v>
      </c>
      <c r="AP93" s="85" t="s">
        <v>1267</v>
      </c>
      <c r="AQ93" s="297">
        <v>245</v>
      </c>
      <c r="AR93" s="33">
        <v>0</v>
      </c>
      <c r="AS93" s="34">
        <v>0</v>
      </c>
      <c r="AT93" s="34">
        <v>0</v>
      </c>
      <c r="AU93" s="73">
        <v>12</v>
      </c>
      <c r="AV93" s="39">
        <v>130</v>
      </c>
      <c r="AW93" s="143">
        <v>192</v>
      </c>
      <c r="AX93" s="33">
        <v>0</v>
      </c>
      <c r="AY93" s="34">
        <v>0</v>
      </c>
      <c r="AZ93" s="34">
        <v>0</v>
      </c>
      <c r="BA93" s="84">
        <v>8</v>
      </c>
      <c r="BB93" s="586">
        <v>3</v>
      </c>
      <c r="BC93" s="590">
        <v>8.13E-07</v>
      </c>
      <c r="BD93" s="588">
        <f t="shared" si="26"/>
        <v>82.48473042670342</v>
      </c>
      <c r="BE93" s="299"/>
      <c r="BF93" s="300"/>
      <c r="BG93" s="112"/>
      <c r="BH93" s="541"/>
      <c r="BI93" s="301">
        <v>4</v>
      </c>
      <c r="BJ93" s="696" t="s">
        <v>1476</v>
      </c>
      <c r="BK93" s="13" t="s">
        <v>136</v>
      </c>
      <c r="BL93" s="303" t="s">
        <v>1302</v>
      </c>
      <c r="BM93" s="86" t="s">
        <v>176</v>
      </c>
      <c r="BN93" s="303" t="s">
        <v>104</v>
      </c>
      <c r="BO93" s="86"/>
      <c r="BP93" s="1" t="s">
        <v>1381</v>
      </c>
      <c r="BR93" s="1">
        <v>218</v>
      </c>
      <c r="BS93" s="21">
        <v>629</v>
      </c>
      <c r="BT93" s="605"/>
      <c r="BU93" s="600">
        <v>6</v>
      </c>
      <c r="BV93" s="601">
        <v>1.2</v>
      </c>
      <c r="BW93" s="329">
        <f t="shared" si="42"/>
        <v>300</v>
      </c>
      <c r="BX93" s="329">
        <f>IF($F93&gt;0,$BW93*$D$208,"")</f>
        <v>382.5</v>
      </c>
      <c r="BY93" s="329">
        <f>IF($F93&gt;1,$BX93*$D$209,"")</f>
        <v>487.68749999999994</v>
      </c>
      <c r="BZ93" s="329">
        <f>IF($F93&gt;2,$BY93*$D$210,"")</f>
        <v>621.8015624999999</v>
      </c>
      <c r="CA93" s="329">
        <f>IF($F93&gt;3,$BZ93*$D$211,"")</f>
        <v>792.7969921874999</v>
      </c>
      <c r="CB93" s="329">
        <f>IF($F93&gt;4,$CA93*$D$212,"")</f>
        <v>1010.8161650390623</v>
      </c>
      <c r="CC93" s="329">
        <f>IF($F93&gt;5,$CB93*$D$213,"")</f>
      </c>
      <c r="CD93" s="329">
        <f>IF($F93&gt;6,$CC93*$D$214,"")</f>
      </c>
      <c r="CE93" s="485" t="s">
        <v>652</v>
      </c>
      <c r="CF93" s="853" t="s">
        <v>919</v>
      </c>
      <c r="CG93" s="440" t="s">
        <v>1007</v>
      </c>
      <c r="CH93" s="305">
        <v>6875000</v>
      </c>
      <c r="CI93" s="305">
        <f t="shared" si="39"/>
        <v>2062500</v>
      </c>
      <c r="CJ93" s="306">
        <f t="shared" si="40"/>
        <v>4812500</v>
      </c>
      <c r="CK93" s="307" t="e">
        <f>CJ93-#REF!</f>
        <v>#REF!</v>
      </c>
      <c r="CL93" s="592">
        <v>6875000</v>
      </c>
      <c r="CM93" s="21">
        <f t="shared" si="27"/>
        <v>1</v>
      </c>
      <c r="CN93" s="21">
        <f t="shared" si="28"/>
        <v>3.3333333333333335</v>
      </c>
      <c r="CO93" s="54"/>
      <c r="CP93" s="625">
        <f t="shared" si="29"/>
        <v>130</v>
      </c>
      <c r="CQ93" s="623">
        <f t="shared" si="30"/>
        <v>110</v>
      </c>
      <c r="CR93" s="624" t="str">
        <f t="shared" si="31"/>
        <v>~</v>
      </c>
      <c r="CS93" s="634">
        <f t="shared" si="32"/>
        <v>192</v>
      </c>
      <c r="CT93" s="591">
        <f t="shared" si="43"/>
        <v>11650000</v>
      </c>
      <c r="CU93" s="591">
        <f t="shared" si="33"/>
        <v>240</v>
      </c>
      <c r="CV93" s="591">
        <v>15000</v>
      </c>
      <c r="CW93" s="54"/>
      <c r="CX93" s="54"/>
      <c r="CY93" s="54"/>
      <c r="CZ93" s="54"/>
      <c r="DA93" s="54">
        <v>1.6875</v>
      </c>
      <c r="DB93" s="54">
        <v>6.25</v>
      </c>
      <c r="DC93" s="649">
        <f t="shared" si="34"/>
        <v>4.427</v>
      </c>
    </row>
    <row r="94" spans="1:107" ht="12.75">
      <c r="A94" s="24" t="s">
        <v>1554</v>
      </c>
      <c r="B94" s="69" t="s">
        <v>1554</v>
      </c>
      <c r="C94" s="319" t="s">
        <v>99</v>
      </c>
      <c r="D94" s="373">
        <v>60</v>
      </c>
      <c r="E94" s="374" t="s">
        <v>572</v>
      </c>
      <c r="F94" s="15">
        <v>3</v>
      </c>
      <c r="G94" s="739">
        <v>3</v>
      </c>
      <c r="H94" s="17">
        <v>5</v>
      </c>
      <c r="I94" s="16">
        <v>2</v>
      </c>
      <c r="J94" s="187">
        <v>3</v>
      </c>
      <c r="K94" s="188">
        <v>3</v>
      </c>
      <c r="L94" s="868">
        <v>225</v>
      </c>
      <c r="M94" s="884">
        <v>425</v>
      </c>
      <c r="N94" s="106">
        <v>400</v>
      </c>
      <c r="O94" s="454">
        <v>5</v>
      </c>
      <c r="P94" s="531">
        <v>5</v>
      </c>
      <c r="Q94" s="340">
        <v>1172</v>
      </c>
      <c r="R94" s="98">
        <v>440</v>
      </c>
      <c r="S94" s="326">
        <f t="shared" si="41"/>
        <v>911.9756249999999</v>
      </c>
      <c r="T94" s="342">
        <v>11110</v>
      </c>
      <c r="U94" s="343">
        <v>89000</v>
      </c>
      <c r="V94" s="344">
        <v>10000</v>
      </c>
      <c r="W94" s="289">
        <v>0.355</v>
      </c>
      <c r="X94" s="340">
        <v>1172</v>
      </c>
      <c r="Y94" s="43">
        <v>60</v>
      </c>
      <c r="Z94" s="44">
        <v>10</v>
      </c>
      <c r="AA94" s="44">
        <v>25</v>
      </c>
      <c r="AB94" s="49">
        <v>35</v>
      </c>
      <c r="AC94" s="345">
        <v>1172</v>
      </c>
      <c r="AD94" s="312">
        <v>1250</v>
      </c>
      <c r="AE94" s="292">
        <f t="shared" si="36"/>
        <v>0.9376</v>
      </c>
      <c r="AF94" s="43">
        <v>0</v>
      </c>
      <c r="AG94" s="44">
        <v>50</v>
      </c>
      <c r="AH94" s="44">
        <v>40</v>
      </c>
      <c r="AI94" s="45">
        <v>20</v>
      </c>
      <c r="AJ94" s="5">
        <f t="shared" si="25"/>
        <v>3516</v>
      </c>
      <c r="AK94" s="103" t="str">
        <f t="shared" si="44"/>
        <v>=</v>
      </c>
      <c r="AL94" s="862">
        <v>625</v>
      </c>
      <c r="AM94" s="458">
        <v>223</v>
      </c>
      <c r="AN94" s="295">
        <f t="shared" si="37"/>
        <v>2.802690582959641</v>
      </c>
      <c r="AO94" s="145">
        <v>37</v>
      </c>
      <c r="AP94" s="85" t="s">
        <v>465</v>
      </c>
      <c r="AQ94" s="297">
        <v>300</v>
      </c>
      <c r="AR94" s="33">
        <v>0</v>
      </c>
      <c r="AS94" s="34">
        <v>0</v>
      </c>
      <c r="AT94" s="34">
        <v>0</v>
      </c>
      <c r="AU94" s="73">
        <v>11</v>
      </c>
      <c r="AV94" s="39">
        <v>100</v>
      </c>
      <c r="AW94" s="143">
        <v>209</v>
      </c>
      <c r="AX94" s="33">
        <v>0</v>
      </c>
      <c r="AY94" s="34">
        <v>0</v>
      </c>
      <c r="AZ94" s="34">
        <v>0</v>
      </c>
      <c r="BA94" s="84">
        <v>7</v>
      </c>
      <c r="BB94" s="586">
        <v>3</v>
      </c>
      <c r="BC94" s="590">
        <v>8.13E-07</v>
      </c>
      <c r="BD94" s="588">
        <f t="shared" si="26"/>
        <v>43.24694462066133</v>
      </c>
      <c r="BE94" s="299"/>
      <c r="BF94" s="300"/>
      <c r="BG94" s="112"/>
      <c r="BH94" s="541"/>
      <c r="BI94" s="301">
        <v>1</v>
      </c>
      <c r="BJ94" s="696" t="s">
        <v>1476</v>
      </c>
      <c r="BK94" s="13" t="s">
        <v>1144</v>
      </c>
      <c r="BL94" s="303" t="s">
        <v>1354</v>
      </c>
      <c r="BM94" s="86" t="s">
        <v>122</v>
      </c>
      <c r="BN94" s="303" t="s">
        <v>104</v>
      </c>
      <c r="BO94" s="86"/>
      <c r="BP94" s="1051" t="s">
        <v>123</v>
      </c>
      <c r="BR94" s="1">
        <v>268</v>
      </c>
      <c r="BS94" s="21">
        <v>631</v>
      </c>
      <c r="BT94" s="605" t="s">
        <v>214</v>
      </c>
      <c r="BU94" s="610">
        <v>5</v>
      </c>
      <c r="BV94" s="601">
        <v>0.2</v>
      </c>
      <c r="BW94" s="329">
        <f t="shared" si="42"/>
        <v>440</v>
      </c>
      <c r="BX94" s="329">
        <f>IF($F94&gt;0,$BW94*$D$208,"")</f>
        <v>561</v>
      </c>
      <c r="BY94" s="329">
        <f>IF($F94&gt;1,$BX94*$D$209,"")</f>
        <v>715.275</v>
      </c>
      <c r="BZ94" s="329">
        <f>IF($F94&gt;2,$BY94*$D$210,"")</f>
        <v>911.9756249999999</v>
      </c>
      <c r="CA94" s="329">
        <f>IF($F94&gt;3,$BZ94*$D$211,"")</f>
      </c>
      <c r="CB94" s="329">
        <f>IF($F94&gt;4,$CA94*$D$212,"")</f>
      </c>
      <c r="CC94" s="329">
        <f>IF($F94&gt;5,$CB94*$D$213,"")</f>
      </c>
      <c r="CD94" s="329">
        <f>IF($F94&gt;6,$CC94*$D$214,"")</f>
      </c>
      <c r="CE94" s="485" t="s">
        <v>1800</v>
      </c>
      <c r="CF94" s="853" t="s">
        <v>919</v>
      </c>
      <c r="CG94" s="440" t="s">
        <v>1008</v>
      </c>
      <c r="CH94" s="305">
        <v>2877500</v>
      </c>
      <c r="CI94" s="305">
        <f t="shared" si="39"/>
        <v>863250</v>
      </c>
      <c r="CJ94" s="306">
        <f t="shared" si="40"/>
        <v>2014250</v>
      </c>
      <c r="CK94" s="307" t="e">
        <f>CJ94-#REF!</f>
        <v>#REF!</v>
      </c>
      <c r="CL94" s="592">
        <v>2877500</v>
      </c>
      <c r="CM94" s="21">
        <f t="shared" si="27"/>
        <v>1</v>
      </c>
      <c r="CN94" s="21">
        <f t="shared" si="28"/>
        <v>3.3333333333333335</v>
      </c>
      <c r="CO94" s="54"/>
      <c r="CP94" s="625">
        <f t="shared" si="29"/>
        <v>130</v>
      </c>
      <c r="CQ94" s="623">
        <f t="shared" si="30"/>
        <v>110</v>
      </c>
      <c r="CR94" s="624" t="str">
        <f t="shared" si="31"/>
        <v>=</v>
      </c>
      <c r="CS94" s="634">
        <f t="shared" si="32"/>
        <v>209</v>
      </c>
      <c r="CT94" s="591">
        <f t="shared" si="43"/>
        <v>11110000</v>
      </c>
      <c r="CU94" s="591">
        <f t="shared" si="33"/>
        <v>261.25</v>
      </c>
      <c r="CV94" s="591">
        <v>15000</v>
      </c>
      <c r="CW94" s="54"/>
      <c r="CX94" s="54"/>
      <c r="CY94" s="54"/>
      <c r="CZ94" s="54"/>
      <c r="DA94" s="54">
        <v>1.6875</v>
      </c>
      <c r="DB94" s="54">
        <v>6.25</v>
      </c>
      <c r="DC94" s="649">
        <f t="shared" si="34"/>
        <v>3.94405</v>
      </c>
    </row>
    <row r="95" spans="1:107" ht="12.75">
      <c r="A95" s="24" t="s">
        <v>1289</v>
      </c>
      <c r="B95" s="69" t="s">
        <v>1289</v>
      </c>
      <c r="C95" s="319" t="s">
        <v>99</v>
      </c>
      <c r="D95" s="373">
        <v>60</v>
      </c>
      <c r="E95" s="374" t="s">
        <v>572</v>
      </c>
      <c r="F95" s="15">
        <v>3</v>
      </c>
      <c r="G95" s="18">
        <v>3</v>
      </c>
      <c r="H95" s="17">
        <v>6</v>
      </c>
      <c r="I95" s="16">
        <v>2</v>
      </c>
      <c r="J95" s="741">
        <v>4</v>
      </c>
      <c r="K95" s="188">
        <v>3</v>
      </c>
      <c r="L95" s="868">
        <v>300</v>
      </c>
      <c r="M95" s="884">
        <v>700</v>
      </c>
      <c r="N95" s="106">
        <v>400</v>
      </c>
      <c r="O95" s="454">
        <v>5</v>
      </c>
      <c r="P95" s="531">
        <v>5</v>
      </c>
      <c r="Q95" s="340">
        <v>1289</v>
      </c>
      <c r="R95" s="98">
        <v>420</v>
      </c>
      <c r="S95" s="326">
        <f t="shared" si="41"/>
        <v>870.5221874999999</v>
      </c>
      <c r="T95" s="342">
        <v>11400</v>
      </c>
      <c r="U95" s="343">
        <v>80000</v>
      </c>
      <c r="V95" s="344">
        <v>10000</v>
      </c>
      <c r="W95" s="289">
        <v>0.335</v>
      </c>
      <c r="X95" s="340">
        <v>1250</v>
      </c>
      <c r="Y95" s="43">
        <v>60</v>
      </c>
      <c r="Z95" s="44">
        <v>10</v>
      </c>
      <c r="AA95" s="44">
        <v>25</v>
      </c>
      <c r="AB95" s="49">
        <v>35</v>
      </c>
      <c r="AC95" s="345">
        <v>1485</v>
      </c>
      <c r="AD95" s="312">
        <v>1250</v>
      </c>
      <c r="AE95" s="292">
        <f t="shared" si="36"/>
        <v>1.188</v>
      </c>
      <c r="AF95" s="43">
        <v>0</v>
      </c>
      <c r="AG95" s="44">
        <v>50</v>
      </c>
      <c r="AH95" s="44">
        <v>40</v>
      </c>
      <c r="AI95" s="45">
        <v>20</v>
      </c>
      <c r="AJ95" s="5">
        <f t="shared" si="25"/>
        <v>4024</v>
      </c>
      <c r="AK95" s="103" t="str">
        <f t="shared" si="44"/>
        <v>S</v>
      </c>
      <c r="AL95" s="862">
        <v>1062</v>
      </c>
      <c r="AM95" s="458">
        <v>381.25</v>
      </c>
      <c r="AN95" s="295">
        <f t="shared" si="37"/>
        <v>2.785573770491803</v>
      </c>
      <c r="AO95" s="145">
        <v>40</v>
      </c>
      <c r="AP95" s="85" t="s">
        <v>1267</v>
      </c>
      <c r="AQ95" s="297">
        <v>265</v>
      </c>
      <c r="AR95" s="33">
        <v>0</v>
      </c>
      <c r="AS95" s="34">
        <v>0</v>
      </c>
      <c r="AT95" s="34">
        <v>0</v>
      </c>
      <c r="AU95" s="73">
        <v>13</v>
      </c>
      <c r="AV95" s="39">
        <v>105</v>
      </c>
      <c r="AW95" s="923">
        <v>231</v>
      </c>
      <c r="AX95" s="33">
        <v>0</v>
      </c>
      <c r="AY95" s="34">
        <v>0</v>
      </c>
      <c r="AZ95" s="34">
        <v>0</v>
      </c>
      <c r="BA95" s="84">
        <v>9</v>
      </c>
      <c r="BB95" s="586">
        <v>3</v>
      </c>
      <c r="BC95" s="590">
        <v>8.13E-07</v>
      </c>
      <c r="BD95" s="588">
        <f t="shared" si="26"/>
        <v>71.61584773742474</v>
      </c>
      <c r="BE95" s="299"/>
      <c r="BF95" s="300"/>
      <c r="BG95" s="112"/>
      <c r="BH95" s="541"/>
      <c r="BI95" s="301">
        <v>3</v>
      </c>
      <c r="BJ95" s="696" t="s">
        <v>1476</v>
      </c>
      <c r="BK95" s="13" t="s">
        <v>136</v>
      </c>
      <c r="BL95" s="303" t="s">
        <v>1023</v>
      </c>
      <c r="BM95" s="86" t="s">
        <v>1324</v>
      </c>
      <c r="BN95" s="303" t="s">
        <v>104</v>
      </c>
      <c r="BO95" s="86"/>
      <c r="BP95" s="1" t="s">
        <v>1325</v>
      </c>
      <c r="BR95" s="1">
        <v>246</v>
      </c>
      <c r="BS95" s="21">
        <v>622</v>
      </c>
      <c r="BT95" s="605"/>
      <c r="BU95" s="600">
        <v>5</v>
      </c>
      <c r="BV95" s="601">
        <v>0.2</v>
      </c>
      <c r="BW95" s="329">
        <f t="shared" si="42"/>
        <v>420</v>
      </c>
      <c r="BX95" s="329">
        <f>IF($F95&gt;0,$BW95*$D$208,"")</f>
        <v>535.5</v>
      </c>
      <c r="BY95" s="329">
        <f>IF($F95&gt;1,$BX95*$D$209,"")</f>
        <v>682.7624999999999</v>
      </c>
      <c r="BZ95" s="329">
        <f>IF($F95&gt;2,$BY95*$D$210,"")</f>
        <v>870.5221874999999</v>
      </c>
      <c r="CA95" s="329">
        <f>IF($F95&gt;3,$BZ95*$D$211,"")</f>
      </c>
      <c r="CB95" s="329">
        <f>IF($F95&gt;4,$CA95*$D$212,"")</f>
      </c>
      <c r="CC95" s="329">
        <f>IF($F95&gt;5,$CB95*$D$213,"")</f>
      </c>
      <c r="CD95" s="329">
        <f>IF($F95&gt;6,$CC95*$D$214,"")</f>
      </c>
      <c r="CE95" s="485" t="s">
        <v>1357</v>
      </c>
      <c r="CF95" s="853" t="s">
        <v>919</v>
      </c>
      <c r="CG95" s="440" t="s">
        <v>1009</v>
      </c>
      <c r="CH95" s="305">
        <v>4450000</v>
      </c>
      <c r="CI95" s="305">
        <f t="shared" si="39"/>
        <v>1335000</v>
      </c>
      <c r="CJ95" s="306">
        <f t="shared" si="40"/>
        <v>3115000</v>
      </c>
      <c r="CK95" s="307" t="e">
        <f>CJ95-#REF!</f>
        <v>#REF!</v>
      </c>
      <c r="CL95" s="592">
        <v>4450000</v>
      </c>
      <c r="CM95" s="21">
        <f t="shared" si="27"/>
        <v>1</v>
      </c>
      <c r="CN95" s="21">
        <f t="shared" si="28"/>
        <v>3.3333333333333335</v>
      </c>
      <c r="CO95" s="54"/>
      <c r="CP95" s="622">
        <f t="shared" si="29"/>
        <v>130</v>
      </c>
      <c r="CQ95" s="623">
        <f t="shared" si="30"/>
        <v>110</v>
      </c>
      <c r="CR95" s="624" t="str">
        <f t="shared" si="31"/>
        <v>S</v>
      </c>
      <c r="CS95" s="634">
        <f t="shared" si="32"/>
        <v>231</v>
      </c>
      <c r="CT95" s="591">
        <f t="shared" si="43"/>
        <v>11400000</v>
      </c>
      <c r="CU95" s="591">
        <f>CS95*1.25*1.25</f>
        <v>360.9375</v>
      </c>
      <c r="CV95" s="591">
        <v>15000</v>
      </c>
      <c r="CW95" s="54"/>
      <c r="CX95" s="54"/>
      <c r="CY95" s="54"/>
      <c r="CZ95" s="54"/>
      <c r="DA95" s="54">
        <v>1.6875</v>
      </c>
      <c r="DB95" s="54">
        <v>6.25</v>
      </c>
      <c r="DC95" s="649">
        <f t="shared" si="34"/>
        <v>3.8190000000000004</v>
      </c>
    </row>
    <row r="96" spans="1:107" ht="12.75">
      <c r="A96" s="24" t="s">
        <v>1327</v>
      </c>
      <c r="B96" s="117" t="s">
        <v>1328</v>
      </c>
      <c r="C96" s="308" t="s">
        <v>827</v>
      </c>
      <c r="D96" s="379">
        <v>51</v>
      </c>
      <c r="E96" s="380" t="s">
        <v>1317</v>
      </c>
      <c r="F96" s="15">
        <v>3</v>
      </c>
      <c r="G96" s="18">
        <v>3</v>
      </c>
      <c r="H96" s="17">
        <v>8</v>
      </c>
      <c r="I96" s="754">
        <v>6</v>
      </c>
      <c r="J96" s="324">
        <v>4</v>
      </c>
      <c r="K96" s="188">
        <v>2</v>
      </c>
      <c r="L96" s="868">
        <v>230</v>
      </c>
      <c r="M96" s="885">
        <v>57</v>
      </c>
      <c r="N96" s="106">
        <v>400</v>
      </c>
      <c r="O96" s="454">
        <v>0</v>
      </c>
      <c r="P96" s="531">
        <v>0</v>
      </c>
      <c r="Q96" s="340">
        <v>700</v>
      </c>
      <c r="R96" s="341">
        <v>380</v>
      </c>
      <c r="S96" s="358">
        <f t="shared" si="41"/>
        <v>787.6153124999997</v>
      </c>
      <c r="T96" s="342">
        <v>1371</v>
      </c>
      <c r="U96" s="343">
        <v>47000</v>
      </c>
      <c r="V96" s="344">
        <v>5000</v>
      </c>
      <c r="W96" s="289">
        <v>2.9</v>
      </c>
      <c r="X96" s="340">
        <v>751</v>
      </c>
      <c r="Y96" s="43">
        <v>50</v>
      </c>
      <c r="Z96" s="44">
        <v>30</v>
      </c>
      <c r="AA96" s="44">
        <v>25</v>
      </c>
      <c r="AB96" s="49">
        <v>35</v>
      </c>
      <c r="AC96" s="345">
        <v>600</v>
      </c>
      <c r="AD96" s="312">
        <v>625</v>
      </c>
      <c r="AE96" s="292">
        <f t="shared" si="36"/>
        <v>0.96</v>
      </c>
      <c r="AF96" s="43">
        <v>0</v>
      </c>
      <c r="AG96" s="44">
        <v>60</v>
      </c>
      <c r="AH96" s="44">
        <v>40</v>
      </c>
      <c r="AI96" s="45">
        <v>20</v>
      </c>
      <c r="AJ96" s="5">
        <f t="shared" si="25"/>
        <v>2051</v>
      </c>
      <c r="AK96" s="103" t="str">
        <f t="shared" si="44"/>
        <v>A</v>
      </c>
      <c r="AL96" s="862">
        <v>562</v>
      </c>
      <c r="AM96" s="458">
        <v>375</v>
      </c>
      <c r="AN96" s="295">
        <f t="shared" si="37"/>
        <v>1.4986666666666666</v>
      </c>
      <c r="AO96" s="145">
        <v>50</v>
      </c>
      <c r="AP96" s="85" t="s">
        <v>465</v>
      </c>
      <c r="AQ96" s="297">
        <v>525</v>
      </c>
      <c r="AR96" s="33">
        <v>10</v>
      </c>
      <c r="AS96" s="34">
        <v>0</v>
      </c>
      <c r="AT96" s="34">
        <v>0</v>
      </c>
      <c r="AU96" s="73">
        <v>0</v>
      </c>
      <c r="AV96" s="39">
        <v>83</v>
      </c>
      <c r="AW96" s="143">
        <v>299</v>
      </c>
      <c r="AX96" s="33">
        <v>6</v>
      </c>
      <c r="AY96" s="34">
        <v>0</v>
      </c>
      <c r="AZ96" s="34">
        <v>0</v>
      </c>
      <c r="BA96" s="84">
        <v>0</v>
      </c>
      <c r="BB96" s="586">
        <v>9</v>
      </c>
      <c r="BC96" s="590">
        <v>8.13E-07</v>
      </c>
      <c r="BD96" s="588">
        <f t="shared" si="26"/>
        <v>315.1289718586464</v>
      </c>
      <c r="BE96" s="299"/>
      <c r="BF96" s="300"/>
      <c r="BG96" s="112"/>
      <c r="BH96" s="541"/>
      <c r="BI96" s="301"/>
      <c r="BJ96" s="346" t="s">
        <v>1401</v>
      </c>
      <c r="BK96" s="36" t="s">
        <v>1748</v>
      </c>
      <c r="BL96" s="303" t="s">
        <v>209</v>
      </c>
      <c r="BM96" s="86" t="s">
        <v>125</v>
      </c>
      <c r="BN96" s="303" t="s">
        <v>1174</v>
      </c>
      <c r="BO96" s="86"/>
      <c r="BP96" s="1" t="s">
        <v>342</v>
      </c>
      <c r="BR96" s="1">
        <v>394</v>
      </c>
      <c r="BS96" s="21">
        <v>22452</v>
      </c>
      <c r="BT96" s="605"/>
      <c r="BU96" s="600">
        <v>7.5</v>
      </c>
      <c r="BV96" s="601">
        <v>0</v>
      </c>
      <c r="BW96" s="329">
        <f t="shared" si="42"/>
        <v>380</v>
      </c>
      <c r="BX96" s="329">
        <f>IF($F96&gt;0,$BW96*$D$208,"")</f>
        <v>484.49999999999994</v>
      </c>
      <c r="BY96" s="329">
        <f>IF($F96&gt;1,$BX96*$D$209,"")</f>
        <v>617.7374999999998</v>
      </c>
      <c r="BZ96" s="329">
        <f>IF($F96&gt;2,$BY96*$D$210,"")</f>
        <v>787.6153124999997</v>
      </c>
      <c r="CA96" s="329">
        <f>IF($F96&gt;3,$BZ96*$D$211,"")</f>
      </c>
      <c r="CB96" s="329">
        <f>IF($F96&gt;4,$CA96*$D$212,"")</f>
      </c>
      <c r="CC96" s="329">
        <f>IF($F96&gt;5,$CB96*$D$213,"")</f>
      </c>
      <c r="CD96" s="329">
        <f>IF($F96&gt;6,$CC96*$D$214,"")</f>
      </c>
      <c r="CE96" s="485" t="s">
        <v>322</v>
      </c>
      <c r="CF96" s="849" t="s">
        <v>515</v>
      </c>
      <c r="CG96" s="440" t="s">
        <v>1010</v>
      </c>
      <c r="CH96" s="305">
        <v>4718704</v>
      </c>
      <c r="CI96" s="305">
        <f t="shared" si="39"/>
        <v>1415611.2</v>
      </c>
      <c r="CJ96" s="306">
        <f t="shared" si="40"/>
        <v>3303092.8</v>
      </c>
      <c r="CK96" s="307" t="e">
        <f>CJ96-#REF!</f>
        <v>#REF!</v>
      </c>
      <c r="CL96" s="592">
        <v>4718704</v>
      </c>
      <c r="CM96" s="21">
        <f t="shared" si="27"/>
        <v>1</v>
      </c>
      <c r="CN96" s="21">
        <f t="shared" si="28"/>
        <v>3.3333333333333335</v>
      </c>
      <c r="CO96" s="54"/>
      <c r="CP96" s="625">
        <f t="shared" si="29"/>
        <v>140</v>
      </c>
      <c r="CQ96" s="626">
        <f t="shared" si="30"/>
        <v>120</v>
      </c>
      <c r="CR96" s="624" t="str">
        <f t="shared" si="31"/>
        <v>A</v>
      </c>
      <c r="CS96" s="634">
        <f t="shared" si="32"/>
        <v>299</v>
      </c>
      <c r="CT96" s="591">
        <f t="shared" si="43"/>
        <v>1371000</v>
      </c>
      <c r="CU96" s="591">
        <f t="shared" si="33"/>
        <v>373.75</v>
      </c>
      <c r="CV96" s="591">
        <v>1500</v>
      </c>
      <c r="CW96" s="54"/>
      <c r="CX96" s="54"/>
      <c r="CY96" s="54"/>
      <c r="CZ96" s="54"/>
      <c r="DA96" s="54">
        <v>1.6875</v>
      </c>
      <c r="DB96" s="54">
        <v>6.25</v>
      </c>
      <c r="DC96" s="649">
        <f t="shared" si="34"/>
        <v>3.9759</v>
      </c>
    </row>
    <row r="97" spans="1:107" ht="12.75">
      <c r="A97" s="24" t="s">
        <v>344</v>
      </c>
      <c r="B97" s="117" t="s">
        <v>1213</v>
      </c>
      <c r="C97" s="636" t="s">
        <v>865</v>
      </c>
      <c r="D97" s="379">
        <v>51</v>
      </c>
      <c r="E97" s="380" t="s">
        <v>1317</v>
      </c>
      <c r="F97" s="15">
        <v>1</v>
      </c>
      <c r="G97" s="18">
        <v>5</v>
      </c>
      <c r="H97" s="17">
        <v>8</v>
      </c>
      <c r="I97" s="19">
        <v>6</v>
      </c>
      <c r="J97" s="187">
        <v>3</v>
      </c>
      <c r="K97" s="188">
        <v>2</v>
      </c>
      <c r="L97" s="868">
        <v>265</v>
      </c>
      <c r="M97" s="885">
        <v>56</v>
      </c>
      <c r="N97" s="106">
        <v>400</v>
      </c>
      <c r="O97" s="454">
        <v>0</v>
      </c>
      <c r="P97" s="531">
        <v>0</v>
      </c>
      <c r="Q97" s="340">
        <v>651</v>
      </c>
      <c r="R97" s="341">
        <v>450</v>
      </c>
      <c r="S97" s="358">
        <f t="shared" si="41"/>
        <v>573.75</v>
      </c>
      <c r="T97" s="342">
        <v>1572</v>
      </c>
      <c r="U97" s="343">
        <v>52000</v>
      </c>
      <c r="V97" s="344">
        <v>5000</v>
      </c>
      <c r="W97" s="289">
        <v>2.36</v>
      </c>
      <c r="X97" s="340">
        <v>600</v>
      </c>
      <c r="Y97" s="43">
        <v>50</v>
      </c>
      <c r="Z97" s="44">
        <v>10</v>
      </c>
      <c r="AA97" s="44">
        <v>25</v>
      </c>
      <c r="AB97" s="49">
        <v>65</v>
      </c>
      <c r="AC97" s="345">
        <v>751</v>
      </c>
      <c r="AD97" s="312">
        <v>625</v>
      </c>
      <c r="AE97" s="292">
        <f t="shared" si="36"/>
        <v>1.2016</v>
      </c>
      <c r="AF97" s="43">
        <v>0</v>
      </c>
      <c r="AG97" s="44">
        <v>50</v>
      </c>
      <c r="AH97" s="44">
        <v>40</v>
      </c>
      <c r="AI97" s="45">
        <v>30</v>
      </c>
      <c r="AJ97" s="5">
        <f t="shared" si="25"/>
        <v>2002</v>
      </c>
      <c r="AK97" s="103" t="str">
        <f t="shared" si="44"/>
        <v>S</v>
      </c>
      <c r="AL97" s="862">
        <v>500</v>
      </c>
      <c r="AM97" s="458">
        <v>333.33</v>
      </c>
      <c r="AN97" s="295">
        <f t="shared" si="37"/>
        <v>1.5000150001500017</v>
      </c>
      <c r="AO97" s="145">
        <v>60</v>
      </c>
      <c r="AP97" s="85" t="s">
        <v>462</v>
      </c>
      <c r="AQ97" s="297">
        <v>475</v>
      </c>
      <c r="AR97" s="33">
        <v>0</v>
      </c>
      <c r="AS97" s="34">
        <v>12</v>
      </c>
      <c r="AT97" s="34">
        <v>0</v>
      </c>
      <c r="AU97" s="73">
        <v>0</v>
      </c>
      <c r="AV97" s="39">
        <v>90</v>
      </c>
      <c r="AW97" s="143">
        <v>315</v>
      </c>
      <c r="AX97" s="33">
        <v>0</v>
      </c>
      <c r="AY97" s="34">
        <v>5</v>
      </c>
      <c r="AZ97" s="34">
        <v>0</v>
      </c>
      <c r="BA97" s="84">
        <v>0</v>
      </c>
      <c r="BB97" s="586">
        <v>9</v>
      </c>
      <c r="BC97" s="590">
        <v>8.13E-07</v>
      </c>
      <c r="BD97" s="588">
        <f t="shared" si="26"/>
        <v>244.51580393666532</v>
      </c>
      <c r="BE97" s="299"/>
      <c r="BF97" s="300"/>
      <c r="BG97" s="112"/>
      <c r="BH97" s="541"/>
      <c r="BI97" s="301"/>
      <c r="BJ97" s="346" t="s">
        <v>1401</v>
      </c>
      <c r="BK97" s="36" t="s">
        <v>1748</v>
      </c>
      <c r="BL97" s="303" t="s">
        <v>210</v>
      </c>
      <c r="BM97" s="86" t="s">
        <v>1180</v>
      </c>
      <c r="BN97" s="303" t="s">
        <v>1232</v>
      </c>
      <c r="BO97" s="86"/>
      <c r="BP97" s="1" t="s">
        <v>1181</v>
      </c>
      <c r="BR97" s="1">
        <v>272</v>
      </c>
      <c r="BS97" s="21">
        <v>22464</v>
      </c>
      <c r="BT97" s="605"/>
      <c r="BU97" s="600">
        <v>7.5</v>
      </c>
      <c r="BV97" s="601">
        <v>0</v>
      </c>
      <c r="BW97" s="329">
        <f t="shared" si="42"/>
        <v>450</v>
      </c>
      <c r="BX97" s="329">
        <f>IF($F97&gt;0,$BW97*$D$208,"")</f>
        <v>573.75</v>
      </c>
      <c r="BY97" s="329">
        <f>IF($F97&gt;1,$BX97*$D$209,"")</f>
      </c>
      <c r="BZ97" s="329">
        <f>IF($F97&gt;2,$BY97*$D$210,"")</f>
      </c>
      <c r="CA97" s="329">
        <f>IF($F97&gt;3,$BZ97*$D$211,"")</f>
      </c>
      <c r="CB97" s="329">
        <f>IF($F97&gt;4,$CA97*$D$212,"")</f>
      </c>
      <c r="CC97" s="329">
        <f>IF($F97&gt;5,$CB97*$D$213,"")</f>
      </c>
      <c r="CD97" s="329">
        <f>IF($F97&gt;6,$CC97*$D$214,"")</f>
      </c>
      <c r="CE97" s="485" t="s">
        <v>597</v>
      </c>
      <c r="CF97" s="849" t="s">
        <v>515</v>
      </c>
      <c r="CG97" s="440" t="s">
        <v>1011</v>
      </c>
      <c r="CH97" s="305">
        <v>4696820</v>
      </c>
      <c r="CI97" s="305">
        <f t="shared" si="39"/>
        <v>1409046</v>
      </c>
      <c r="CJ97" s="306">
        <f t="shared" si="40"/>
        <v>3287774</v>
      </c>
      <c r="CK97" s="307" t="e">
        <f>CJ97-#REF!</f>
        <v>#REF!</v>
      </c>
      <c r="CL97" s="592">
        <v>4696820</v>
      </c>
      <c r="CM97" s="21">
        <f t="shared" si="27"/>
        <v>1</v>
      </c>
      <c r="CN97" s="21">
        <f t="shared" si="28"/>
        <v>3.3333333333333335</v>
      </c>
      <c r="CO97" s="54"/>
      <c r="CP97" s="622">
        <f t="shared" si="29"/>
        <v>150</v>
      </c>
      <c r="CQ97" s="623">
        <f t="shared" si="30"/>
        <v>120</v>
      </c>
      <c r="CR97" s="624" t="str">
        <f t="shared" si="31"/>
        <v>S</v>
      </c>
      <c r="CS97" s="634">
        <f t="shared" si="32"/>
        <v>315</v>
      </c>
      <c r="CT97" s="591">
        <f t="shared" si="43"/>
        <v>1572000</v>
      </c>
      <c r="CU97" s="591">
        <f t="shared" si="33"/>
        <v>393.75</v>
      </c>
      <c r="CV97" s="591">
        <v>1500</v>
      </c>
      <c r="CW97" s="54"/>
      <c r="CX97" s="54"/>
      <c r="CY97" s="54"/>
      <c r="CZ97" s="54"/>
      <c r="DA97" s="54">
        <v>1.6875</v>
      </c>
      <c r="DB97" s="54">
        <v>6.25</v>
      </c>
      <c r="DC97" s="649">
        <f t="shared" si="34"/>
        <v>3.7099199999999994</v>
      </c>
    </row>
    <row r="98" spans="1:107" ht="12.75">
      <c r="A98" s="24" t="s">
        <v>1183</v>
      </c>
      <c r="B98" s="117" t="s">
        <v>1446</v>
      </c>
      <c r="C98" s="315" t="s">
        <v>1042</v>
      </c>
      <c r="D98" s="379">
        <v>51</v>
      </c>
      <c r="E98" s="380" t="s">
        <v>1317</v>
      </c>
      <c r="F98" s="15">
        <v>4</v>
      </c>
      <c r="G98" s="18">
        <v>2</v>
      </c>
      <c r="H98" s="17">
        <v>8</v>
      </c>
      <c r="I98" s="755">
        <v>4</v>
      </c>
      <c r="J98" s="737">
        <v>5</v>
      </c>
      <c r="K98" s="188">
        <v>2</v>
      </c>
      <c r="L98" s="868">
        <v>194</v>
      </c>
      <c r="M98" s="885">
        <v>62</v>
      </c>
      <c r="N98" s="106">
        <v>400</v>
      </c>
      <c r="O98" s="454">
        <v>5</v>
      </c>
      <c r="P98" s="531">
        <v>5</v>
      </c>
      <c r="Q98" s="340">
        <v>751</v>
      </c>
      <c r="R98" s="98">
        <v>400</v>
      </c>
      <c r="S98" s="326">
        <f t="shared" si="41"/>
        <v>1057.0626562499997</v>
      </c>
      <c r="T98" s="342">
        <v>1463</v>
      </c>
      <c r="U98" s="343">
        <v>55000</v>
      </c>
      <c r="V98" s="344">
        <v>5000</v>
      </c>
      <c r="W98" s="289">
        <v>2.93</v>
      </c>
      <c r="X98" s="340">
        <v>700</v>
      </c>
      <c r="Y98" s="43">
        <v>50</v>
      </c>
      <c r="Z98" s="44">
        <v>10</v>
      </c>
      <c r="AA98" s="44">
        <v>45</v>
      </c>
      <c r="AB98" s="49">
        <v>35</v>
      </c>
      <c r="AC98" s="345">
        <v>651</v>
      </c>
      <c r="AD98" s="312">
        <v>625</v>
      </c>
      <c r="AE98" s="292">
        <f t="shared" si="36"/>
        <v>1.0416</v>
      </c>
      <c r="AF98" s="43">
        <v>0</v>
      </c>
      <c r="AG98" s="44">
        <v>50</v>
      </c>
      <c r="AH98" s="44">
        <v>50</v>
      </c>
      <c r="AI98" s="45">
        <v>20</v>
      </c>
      <c r="AJ98" s="5">
        <f t="shared" si="25"/>
        <v>2102</v>
      </c>
      <c r="AK98" s="103" t="str">
        <f t="shared" si="44"/>
        <v>~</v>
      </c>
      <c r="AL98" s="862">
        <v>468</v>
      </c>
      <c r="AM98" s="458">
        <v>312.5</v>
      </c>
      <c r="AN98" s="295">
        <f t="shared" si="37"/>
        <v>1.4976</v>
      </c>
      <c r="AO98" s="145">
        <v>55</v>
      </c>
      <c r="AP98" s="85" t="s">
        <v>462</v>
      </c>
      <c r="AQ98" s="297">
        <v>500</v>
      </c>
      <c r="AR98" s="33">
        <v>0</v>
      </c>
      <c r="AS98" s="34">
        <v>0</v>
      </c>
      <c r="AT98" s="34">
        <v>11</v>
      </c>
      <c r="AU98" s="73">
        <v>0</v>
      </c>
      <c r="AV98" s="39">
        <v>86</v>
      </c>
      <c r="AW98" s="143">
        <v>307</v>
      </c>
      <c r="AX98" s="33">
        <v>0</v>
      </c>
      <c r="AY98" s="34">
        <v>0</v>
      </c>
      <c r="AZ98" s="34">
        <v>6</v>
      </c>
      <c r="BA98" s="84">
        <v>0</v>
      </c>
      <c r="BB98" s="586">
        <v>9</v>
      </c>
      <c r="BC98" s="590">
        <v>8.13E-07</v>
      </c>
      <c r="BD98" s="588">
        <f t="shared" si="26"/>
        <v>245.9183853629377</v>
      </c>
      <c r="BE98" s="299"/>
      <c r="BF98" s="300"/>
      <c r="BG98" s="112"/>
      <c r="BH98" s="541"/>
      <c r="BI98" s="301"/>
      <c r="BJ98" s="346" t="s">
        <v>1401</v>
      </c>
      <c r="BK98" s="36" t="s">
        <v>1761</v>
      </c>
      <c r="BL98" s="303" t="s">
        <v>660</v>
      </c>
      <c r="BM98" s="86" t="s">
        <v>1180</v>
      </c>
      <c r="BN98" s="303" t="s">
        <v>1231</v>
      </c>
      <c r="BO98" s="86"/>
      <c r="BP98" s="1" t="s">
        <v>848</v>
      </c>
      <c r="BR98" s="1">
        <v>326</v>
      </c>
      <c r="BS98" s="21">
        <v>22460</v>
      </c>
      <c r="BT98" s="605"/>
      <c r="BU98" s="600">
        <v>9</v>
      </c>
      <c r="BV98" s="601">
        <v>0.2</v>
      </c>
      <c r="BW98" s="329">
        <f t="shared" si="42"/>
        <v>400</v>
      </c>
      <c r="BX98" s="329">
        <f>IF($F98&gt;0,$BW98*$D$208,"")</f>
        <v>509.99999999999994</v>
      </c>
      <c r="BY98" s="329">
        <f>IF($F98&gt;1,$BX98*$D$209,"")</f>
        <v>650.2499999999999</v>
      </c>
      <c r="BZ98" s="329">
        <f>IF($F98&gt;2,$BY98*$D$210,"")</f>
        <v>829.0687499999998</v>
      </c>
      <c r="CA98" s="329">
        <f>IF($F98&gt;3,$BZ98*$D$211,"")</f>
        <v>1057.0626562499997</v>
      </c>
      <c r="CB98" s="329">
        <f>IF($F98&gt;4,$CA98*$D$212,"")</f>
      </c>
      <c r="CC98" s="329">
        <f>IF($F98&gt;5,$CB98*$D$213,"")</f>
      </c>
      <c r="CD98" s="329">
        <f>IF($F98&gt;6,$CC98*$D$214,"")</f>
      </c>
      <c r="CE98" s="485" t="s">
        <v>853</v>
      </c>
      <c r="CF98" s="849" t="s">
        <v>515</v>
      </c>
      <c r="CG98" s="440" t="s">
        <v>1012</v>
      </c>
      <c r="CH98" s="305">
        <v>4643960</v>
      </c>
      <c r="CI98" s="305">
        <f t="shared" si="39"/>
        <v>1393188</v>
      </c>
      <c r="CJ98" s="306">
        <f t="shared" si="40"/>
        <v>3250772</v>
      </c>
      <c r="CK98" s="307" t="e">
        <f>CJ98-#REF!</f>
        <v>#REF!</v>
      </c>
      <c r="CL98" s="592">
        <v>4643960</v>
      </c>
      <c r="CM98" s="21">
        <f t="shared" si="27"/>
        <v>1</v>
      </c>
      <c r="CN98" s="21">
        <f t="shared" si="28"/>
        <v>3.3333333333333335</v>
      </c>
      <c r="CO98" s="54"/>
      <c r="CP98" s="625">
        <f t="shared" si="29"/>
        <v>140</v>
      </c>
      <c r="CQ98" s="623">
        <f t="shared" si="30"/>
        <v>120</v>
      </c>
      <c r="CR98" s="624" t="str">
        <f t="shared" si="31"/>
        <v>~</v>
      </c>
      <c r="CS98" s="634">
        <f t="shared" si="32"/>
        <v>307</v>
      </c>
      <c r="CT98" s="591">
        <f t="shared" si="43"/>
        <v>1463000</v>
      </c>
      <c r="CU98" s="591">
        <f t="shared" si="33"/>
        <v>383.75</v>
      </c>
      <c r="CV98" s="591">
        <v>1500</v>
      </c>
      <c r="CW98" s="54"/>
      <c r="CX98" s="54"/>
      <c r="CY98" s="54"/>
      <c r="CZ98" s="54"/>
      <c r="DA98" s="54">
        <v>1.6875</v>
      </c>
      <c r="DB98" s="54">
        <v>6.25</v>
      </c>
      <c r="DC98" s="649">
        <f t="shared" si="34"/>
        <v>4.28659</v>
      </c>
    </row>
    <row r="99" spans="1:107" ht="12.75">
      <c r="A99" s="381" t="s">
        <v>850</v>
      </c>
      <c r="B99" s="117" t="s">
        <v>42</v>
      </c>
      <c r="C99" s="319" t="s">
        <v>99</v>
      </c>
      <c r="D99" s="379">
        <v>51</v>
      </c>
      <c r="E99" s="380" t="s">
        <v>1317</v>
      </c>
      <c r="F99" s="15">
        <v>2</v>
      </c>
      <c r="G99" s="18">
        <v>4</v>
      </c>
      <c r="H99" s="17">
        <v>8</v>
      </c>
      <c r="I99" s="16">
        <v>2</v>
      </c>
      <c r="J99" s="186">
        <v>7</v>
      </c>
      <c r="K99" s="188">
        <v>2</v>
      </c>
      <c r="L99" s="868">
        <v>228</v>
      </c>
      <c r="M99" s="885">
        <v>58</v>
      </c>
      <c r="N99" s="106">
        <v>400</v>
      </c>
      <c r="O99" s="454">
        <v>0</v>
      </c>
      <c r="P99" s="531">
        <v>0</v>
      </c>
      <c r="Q99" s="340">
        <v>600</v>
      </c>
      <c r="R99" s="341">
        <v>400</v>
      </c>
      <c r="S99" s="358">
        <f t="shared" si="41"/>
        <v>650.2499999999999</v>
      </c>
      <c r="T99" s="342">
        <v>1285</v>
      </c>
      <c r="U99" s="343">
        <v>43000</v>
      </c>
      <c r="V99" s="344">
        <v>5000</v>
      </c>
      <c r="W99" s="289">
        <v>2.85</v>
      </c>
      <c r="X99" s="340">
        <v>651</v>
      </c>
      <c r="Y99" s="43">
        <v>60</v>
      </c>
      <c r="Z99" s="44">
        <v>10</v>
      </c>
      <c r="AA99" s="44">
        <v>25</v>
      </c>
      <c r="AB99" s="49">
        <v>35</v>
      </c>
      <c r="AC99" s="345">
        <v>700</v>
      </c>
      <c r="AD99" s="312">
        <v>625</v>
      </c>
      <c r="AE99" s="292">
        <f t="shared" si="36"/>
        <v>1.12</v>
      </c>
      <c r="AF99" s="43">
        <v>10</v>
      </c>
      <c r="AG99" s="44">
        <v>50</v>
      </c>
      <c r="AH99" s="44">
        <v>40</v>
      </c>
      <c r="AI99" s="45">
        <v>20</v>
      </c>
      <c r="AJ99" s="5">
        <f t="shared" si="25"/>
        <v>1951</v>
      </c>
      <c r="AK99" s="103" t="str">
        <f t="shared" si="44"/>
        <v>~</v>
      </c>
      <c r="AL99" s="862">
        <v>437</v>
      </c>
      <c r="AM99" s="458">
        <v>291.67</v>
      </c>
      <c r="AN99" s="295">
        <f t="shared" si="37"/>
        <v>1.4982685912161002</v>
      </c>
      <c r="AO99" s="145">
        <v>45</v>
      </c>
      <c r="AP99" s="85" t="s">
        <v>465</v>
      </c>
      <c r="AQ99" s="297">
        <v>550</v>
      </c>
      <c r="AR99" s="33">
        <v>0</v>
      </c>
      <c r="AS99" s="34">
        <v>0</v>
      </c>
      <c r="AT99" s="34">
        <v>0</v>
      </c>
      <c r="AU99" s="73">
        <v>9</v>
      </c>
      <c r="AV99" s="39">
        <v>75</v>
      </c>
      <c r="AW99" s="143">
        <v>320</v>
      </c>
      <c r="AX99" s="33">
        <v>0</v>
      </c>
      <c r="AY99" s="34">
        <v>0</v>
      </c>
      <c r="AZ99" s="34">
        <v>0</v>
      </c>
      <c r="BA99" s="84">
        <v>7</v>
      </c>
      <c r="BB99" s="586">
        <v>9</v>
      </c>
      <c r="BC99" s="590">
        <v>8.13E-07</v>
      </c>
      <c r="BD99" s="588">
        <f t="shared" si="26"/>
        <v>261.4374392771165</v>
      </c>
      <c r="BE99" s="299"/>
      <c r="BF99" s="300"/>
      <c r="BG99" s="112"/>
      <c r="BH99" s="541"/>
      <c r="BI99" s="301"/>
      <c r="BJ99" s="346" t="s">
        <v>1401</v>
      </c>
      <c r="BK99" s="36" t="s">
        <v>1317</v>
      </c>
      <c r="BL99" s="303" t="s">
        <v>94</v>
      </c>
      <c r="BM99" s="86" t="s">
        <v>413</v>
      </c>
      <c r="BN99" s="303" t="s">
        <v>1172</v>
      </c>
      <c r="BO99" s="86"/>
      <c r="BP99" s="1" t="s">
        <v>850</v>
      </c>
      <c r="BR99" s="1">
        <v>276</v>
      </c>
      <c r="BS99" s="21">
        <v>22456</v>
      </c>
      <c r="BT99" s="605"/>
      <c r="BU99" s="600">
        <v>8.75</v>
      </c>
      <c r="BV99" s="601">
        <v>0</v>
      </c>
      <c r="BW99" s="329">
        <f t="shared" si="42"/>
        <v>400</v>
      </c>
      <c r="BX99" s="329">
        <f>IF($F99&gt;0,$BW99*$D$208,"")</f>
        <v>509.99999999999994</v>
      </c>
      <c r="BY99" s="329">
        <f>IF($F99&gt;1,$BX99*$D$209,"")</f>
        <v>650.2499999999999</v>
      </c>
      <c r="BZ99" s="329">
        <f>IF($F99&gt;2,$BY99*$D$210,"")</f>
      </c>
      <c r="CA99" s="329">
        <f>IF($F99&gt;3,$BZ99*$D$211,"")</f>
      </c>
      <c r="CB99" s="329">
        <f>IF($F99&gt;4,$CA99*$D$212,"")</f>
      </c>
      <c r="CC99" s="329">
        <f>IF($F99&gt;5,$CB99*$D$213,"")</f>
      </c>
      <c r="CD99" s="329">
        <f>IF($F99&gt;6,$CC99*$D$214,"")</f>
      </c>
      <c r="CE99" s="485" t="s">
        <v>70</v>
      </c>
      <c r="CF99" s="849" t="s">
        <v>515</v>
      </c>
      <c r="CG99" s="440" t="s">
        <v>1120</v>
      </c>
      <c r="CH99" s="305">
        <v>4605180</v>
      </c>
      <c r="CI99" s="305">
        <f t="shared" si="39"/>
        <v>1381554</v>
      </c>
      <c r="CJ99" s="306">
        <f t="shared" si="40"/>
        <v>3223626</v>
      </c>
      <c r="CK99" s="307" t="e">
        <f>CJ99-#REF!</f>
        <v>#REF!</v>
      </c>
      <c r="CL99" s="592">
        <v>4605180</v>
      </c>
      <c r="CM99" s="21">
        <f t="shared" si="27"/>
        <v>1</v>
      </c>
      <c r="CN99" s="21">
        <f t="shared" si="28"/>
        <v>3.3333333333333335</v>
      </c>
      <c r="CO99" s="54"/>
      <c r="CP99" s="625">
        <f t="shared" si="29"/>
        <v>130</v>
      </c>
      <c r="CQ99" s="623">
        <f t="shared" si="30"/>
        <v>120</v>
      </c>
      <c r="CR99" s="624" t="str">
        <f t="shared" si="31"/>
        <v>~</v>
      </c>
      <c r="CS99" s="634">
        <f t="shared" si="32"/>
        <v>320</v>
      </c>
      <c r="CT99" s="591">
        <f t="shared" si="43"/>
        <v>1285000</v>
      </c>
      <c r="CU99" s="591">
        <f t="shared" si="33"/>
        <v>400</v>
      </c>
      <c r="CV99" s="591">
        <v>1500</v>
      </c>
      <c r="CW99" s="54"/>
      <c r="CX99" s="54"/>
      <c r="CY99" s="54"/>
      <c r="CZ99" s="54"/>
      <c r="DA99" s="54">
        <v>1.6875</v>
      </c>
      <c r="DB99" s="54">
        <v>6.25</v>
      </c>
      <c r="DC99" s="649">
        <f t="shared" si="34"/>
        <v>3.66225</v>
      </c>
    </row>
    <row r="100" spans="1:107" ht="12.75">
      <c r="A100" s="24" t="s">
        <v>1328</v>
      </c>
      <c r="B100" s="69" t="s">
        <v>1328</v>
      </c>
      <c r="C100" s="308" t="s">
        <v>827</v>
      </c>
      <c r="D100" s="382">
        <v>50</v>
      </c>
      <c r="E100" s="383" t="s">
        <v>205</v>
      </c>
      <c r="F100" s="15">
        <v>4</v>
      </c>
      <c r="G100" s="18">
        <v>1</v>
      </c>
      <c r="H100" s="17">
        <v>8</v>
      </c>
      <c r="I100" s="16">
        <v>0</v>
      </c>
      <c r="J100" s="186">
        <v>8</v>
      </c>
      <c r="K100" s="188">
        <v>3</v>
      </c>
      <c r="L100" s="868">
        <v>160</v>
      </c>
      <c r="M100" s="885">
        <v>75</v>
      </c>
      <c r="N100" s="106">
        <v>400</v>
      </c>
      <c r="O100" s="454">
        <v>0</v>
      </c>
      <c r="P100" s="531">
        <v>0</v>
      </c>
      <c r="Q100" s="340">
        <v>730</v>
      </c>
      <c r="R100" s="341">
        <v>300</v>
      </c>
      <c r="S100" s="358">
        <f t="shared" si="41"/>
        <v>792.7969921874999</v>
      </c>
      <c r="T100" s="342">
        <v>1665</v>
      </c>
      <c r="U100" s="343">
        <v>47000</v>
      </c>
      <c r="V100" s="344">
        <v>5000</v>
      </c>
      <c r="W100" s="289">
        <v>2.39</v>
      </c>
      <c r="X100" s="340">
        <v>782</v>
      </c>
      <c r="Y100" s="43">
        <v>50</v>
      </c>
      <c r="Z100" s="44">
        <v>20</v>
      </c>
      <c r="AA100" s="44">
        <v>25</v>
      </c>
      <c r="AB100" s="49">
        <v>35</v>
      </c>
      <c r="AC100" s="345">
        <v>625</v>
      </c>
      <c r="AD100" s="312">
        <v>625</v>
      </c>
      <c r="AE100" s="292">
        <f t="shared" si="36"/>
        <v>1</v>
      </c>
      <c r="AF100" s="43">
        <v>0</v>
      </c>
      <c r="AG100" s="44">
        <v>50</v>
      </c>
      <c r="AH100" s="44">
        <v>40</v>
      </c>
      <c r="AI100" s="45">
        <v>20</v>
      </c>
      <c r="AJ100" s="5">
        <f aca="true" t="shared" si="45" ref="AJ100:AJ131">Q100+X100+AC100</f>
        <v>2137</v>
      </c>
      <c r="AK100" s="103" t="str">
        <f t="shared" si="44"/>
        <v>A</v>
      </c>
      <c r="AL100" s="862">
        <v>562</v>
      </c>
      <c r="AM100" s="458">
        <v>375</v>
      </c>
      <c r="AN100" s="295">
        <f t="shared" si="37"/>
        <v>1.4986666666666666</v>
      </c>
      <c r="AO100" s="145">
        <v>30</v>
      </c>
      <c r="AP100" s="85" t="s">
        <v>465</v>
      </c>
      <c r="AQ100" s="297">
        <v>525</v>
      </c>
      <c r="AR100" s="33">
        <v>10</v>
      </c>
      <c r="AS100" s="34">
        <v>0</v>
      </c>
      <c r="AT100" s="34">
        <v>0</v>
      </c>
      <c r="AU100" s="73">
        <v>0</v>
      </c>
      <c r="AV100" s="39">
        <v>83</v>
      </c>
      <c r="AW100" s="143">
        <v>252</v>
      </c>
      <c r="AX100" s="33">
        <v>6</v>
      </c>
      <c r="AY100" s="34">
        <v>0</v>
      </c>
      <c r="AZ100" s="34">
        <v>0</v>
      </c>
      <c r="BA100" s="84">
        <v>0</v>
      </c>
      <c r="BB100" s="586">
        <v>3</v>
      </c>
      <c r="BC100" s="590">
        <v>8.13E-07</v>
      </c>
      <c r="BD100" s="588">
        <f t="shared" si="26"/>
        <v>259.4845768277503</v>
      </c>
      <c r="BE100" s="299"/>
      <c r="BF100" s="300"/>
      <c r="BG100" s="112"/>
      <c r="BH100" s="541"/>
      <c r="BI100" s="301"/>
      <c r="BJ100" s="696" t="s">
        <v>1476</v>
      </c>
      <c r="BK100" s="13" t="s">
        <v>136</v>
      </c>
      <c r="BL100" s="303" t="s">
        <v>956</v>
      </c>
      <c r="BM100" s="86" t="s">
        <v>650</v>
      </c>
      <c r="BN100" s="303" t="s">
        <v>104</v>
      </c>
      <c r="BO100" s="86"/>
      <c r="BP100" s="1" t="s">
        <v>651</v>
      </c>
      <c r="BR100" s="1">
        <v>394</v>
      </c>
      <c r="BS100" s="21">
        <v>16236</v>
      </c>
      <c r="BT100" s="606"/>
      <c r="BU100" s="601">
        <v>6</v>
      </c>
      <c r="BV100" s="601">
        <v>0</v>
      </c>
      <c r="BW100" s="329">
        <f t="shared" si="42"/>
        <v>300</v>
      </c>
      <c r="BX100" s="329">
        <f>IF($F100&gt;0,$BW100*$D$208,"")</f>
        <v>382.5</v>
      </c>
      <c r="BY100" s="329">
        <f>IF($F100&gt;1,$BX100*$D$209,"")</f>
        <v>487.68749999999994</v>
      </c>
      <c r="BZ100" s="329">
        <f>IF($F100&gt;2,$BY100*$D$210,"")</f>
        <v>621.8015624999999</v>
      </c>
      <c r="CA100" s="329">
        <f>IF($F100&gt;3,$BZ100*$D$211,"")</f>
        <v>792.7969921874999</v>
      </c>
      <c r="CB100" s="329">
        <f>IF($F100&gt;4,$CA100*$D$212,"")</f>
      </c>
      <c r="CC100" s="329">
        <f>IF($F100&gt;5,$CB100*$D$213,"")</f>
      </c>
      <c r="CD100" s="329">
        <f>IF($F100&gt;6,$CC100*$D$214,"")</f>
      </c>
      <c r="CE100" s="485" t="s">
        <v>484</v>
      </c>
      <c r="CF100" s="854" t="s">
        <v>921</v>
      </c>
      <c r="CG100" s="440" t="s">
        <v>1121</v>
      </c>
      <c r="CH100" s="305">
        <v>863524</v>
      </c>
      <c r="CI100" s="305">
        <f t="shared" si="39"/>
        <v>259057.19999999998</v>
      </c>
      <c r="CJ100" s="306">
        <f t="shared" si="40"/>
        <v>604466.8</v>
      </c>
      <c r="CK100" s="307" t="e">
        <f>CJ100-#REF!</f>
        <v>#REF!</v>
      </c>
      <c r="CL100" s="592">
        <v>863524</v>
      </c>
      <c r="CM100" s="21">
        <f t="shared" si="27"/>
        <v>1</v>
      </c>
      <c r="CN100" s="21">
        <f t="shared" si="28"/>
        <v>3.3333333333333335</v>
      </c>
      <c r="CO100" s="54"/>
      <c r="CP100" s="625">
        <f t="shared" si="29"/>
        <v>130</v>
      </c>
      <c r="CQ100" s="626">
        <f t="shared" si="30"/>
        <v>110</v>
      </c>
      <c r="CR100" s="624" t="str">
        <f t="shared" si="31"/>
        <v>A</v>
      </c>
      <c r="CS100" s="634">
        <f t="shared" si="32"/>
        <v>252</v>
      </c>
      <c r="CT100" s="591">
        <f t="shared" si="43"/>
        <v>1665000</v>
      </c>
      <c r="CU100" s="591">
        <f t="shared" si="33"/>
        <v>315</v>
      </c>
      <c r="CV100" s="591">
        <v>1500</v>
      </c>
      <c r="CW100" s="54"/>
      <c r="CX100" s="54">
        <v>683</v>
      </c>
      <c r="CY100" s="54"/>
      <c r="CZ100" s="54"/>
      <c r="DA100" s="54">
        <v>1.6875</v>
      </c>
      <c r="DB100" s="54">
        <v>6.25</v>
      </c>
      <c r="DC100" s="649">
        <f t="shared" si="34"/>
        <v>3.97935</v>
      </c>
    </row>
    <row r="101" spans="1:107" ht="12.75">
      <c r="A101" s="24" t="s">
        <v>1213</v>
      </c>
      <c r="B101" s="69" t="s">
        <v>1213</v>
      </c>
      <c r="C101" s="636" t="s">
        <v>865</v>
      </c>
      <c r="D101" s="382">
        <v>50</v>
      </c>
      <c r="E101" s="383" t="s">
        <v>205</v>
      </c>
      <c r="F101" s="15">
        <v>1</v>
      </c>
      <c r="G101" s="18">
        <v>4</v>
      </c>
      <c r="H101" s="17">
        <v>8</v>
      </c>
      <c r="I101" s="323">
        <v>1</v>
      </c>
      <c r="J101" s="186">
        <v>7</v>
      </c>
      <c r="K101" s="188">
        <v>3</v>
      </c>
      <c r="L101" s="868">
        <v>215</v>
      </c>
      <c r="M101" s="885">
        <v>55</v>
      </c>
      <c r="N101" s="106">
        <v>400</v>
      </c>
      <c r="O101" s="454">
        <v>0</v>
      </c>
      <c r="P101" s="531">
        <v>0</v>
      </c>
      <c r="Q101" s="340">
        <v>677</v>
      </c>
      <c r="R101" s="341">
        <v>450</v>
      </c>
      <c r="S101" s="358">
        <f t="shared" si="41"/>
        <v>573.75</v>
      </c>
      <c r="T101" s="342">
        <v>1892</v>
      </c>
      <c r="U101" s="343">
        <v>52000</v>
      </c>
      <c r="V101" s="344">
        <v>5000</v>
      </c>
      <c r="W101" s="289">
        <v>1.96</v>
      </c>
      <c r="X101" s="340">
        <v>625</v>
      </c>
      <c r="Y101" s="43">
        <v>50</v>
      </c>
      <c r="Z101" s="44">
        <v>10</v>
      </c>
      <c r="AA101" s="44">
        <v>25</v>
      </c>
      <c r="AB101" s="49">
        <v>45</v>
      </c>
      <c r="AC101" s="345">
        <v>782</v>
      </c>
      <c r="AD101" s="312">
        <v>625</v>
      </c>
      <c r="AE101" s="292">
        <f t="shared" si="36"/>
        <v>1.2512</v>
      </c>
      <c r="AF101" s="43">
        <v>0</v>
      </c>
      <c r="AG101" s="44">
        <v>50</v>
      </c>
      <c r="AH101" s="44">
        <v>40</v>
      </c>
      <c r="AI101" s="45">
        <v>20</v>
      </c>
      <c r="AJ101" s="5">
        <f t="shared" si="45"/>
        <v>2084</v>
      </c>
      <c r="AK101" s="103" t="str">
        <f t="shared" si="44"/>
        <v>S</v>
      </c>
      <c r="AL101" s="862">
        <v>500</v>
      </c>
      <c r="AM101" s="458">
        <v>333.33</v>
      </c>
      <c r="AN101" s="295">
        <f t="shared" si="37"/>
        <v>1.5000150001500017</v>
      </c>
      <c r="AO101" s="145">
        <v>36</v>
      </c>
      <c r="AP101" s="85" t="s">
        <v>462</v>
      </c>
      <c r="AQ101" s="297">
        <v>475</v>
      </c>
      <c r="AR101" s="33">
        <v>0</v>
      </c>
      <c r="AS101" s="34">
        <v>12</v>
      </c>
      <c r="AT101" s="34">
        <v>0</v>
      </c>
      <c r="AU101" s="73">
        <v>0</v>
      </c>
      <c r="AV101" s="39">
        <v>90</v>
      </c>
      <c r="AW101" s="143">
        <v>244</v>
      </c>
      <c r="AX101" s="33">
        <v>0</v>
      </c>
      <c r="AY101" s="34">
        <v>5</v>
      </c>
      <c r="AZ101" s="34">
        <v>0</v>
      </c>
      <c r="BA101" s="84">
        <v>0</v>
      </c>
      <c r="BB101" s="586">
        <v>3</v>
      </c>
      <c r="BC101" s="590">
        <v>8.13E-07</v>
      </c>
      <c r="BD101" s="588">
        <f t="shared" si="26"/>
        <v>203.16006542729278</v>
      </c>
      <c r="BE101" s="299"/>
      <c r="BF101" s="300"/>
      <c r="BG101" s="112"/>
      <c r="BH101" s="541"/>
      <c r="BI101" s="301"/>
      <c r="BJ101" s="696" t="s">
        <v>1476</v>
      </c>
      <c r="BK101" s="13" t="s">
        <v>136</v>
      </c>
      <c r="BL101" s="303" t="s">
        <v>653</v>
      </c>
      <c r="BM101" s="86" t="s">
        <v>1798</v>
      </c>
      <c r="BN101" s="303" t="s">
        <v>104</v>
      </c>
      <c r="BO101" s="86"/>
      <c r="BP101" s="1" t="s">
        <v>1799</v>
      </c>
      <c r="BR101" s="1">
        <v>272</v>
      </c>
      <c r="BS101" s="21">
        <v>16238</v>
      </c>
      <c r="BT101" s="606"/>
      <c r="BU101" s="601">
        <v>5.25</v>
      </c>
      <c r="BV101" s="601">
        <v>0</v>
      </c>
      <c r="BW101" s="329">
        <f t="shared" si="42"/>
        <v>450</v>
      </c>
      <c r="BX101" s="329">
        <f>IF($F101&gt;0,$BW101*$D$208,"")</f>
        <v>573.75</v>
      </c>
      <c r="BY101" s="329">
        <f>IF($F101&gt;1,$BX101*$D$209,"")</f>
      </c>
      <c r="BZ101" s="329">
        <f>IF($F101&gt;2,$BY101*$D$210,"")</f>
      </c>
      <c r="CA101" s="329">
        <f>IF($F101&gt;3,$BZ101*$D$211,"")</f>
      </c>
      <c r="CB101" s="329">
        <f>IF($F101&gt;4,$CA101*$D$212,"")</f>
      </c>
      <c r="CC101" s="329">
        <f>IF($F101&gt;5,$CB101*$D$213,"")</f>
      </c>
      <c r="CD101" s="329">
        <f>IF($F101&gt;6,$CC101*$D$214,"")</f>
      </c>
      <c r="CE101" s="485" t="s">
        <v>248</v>
      </c>
      <c r="CF101" s="854" t="s">
        <v>921</v>
      </c>
      <c r="CG101" s="440" t="s">
        <v>1650</v>
      </c>
      <c r="CH101" s="305">
        <v>841640</v>
      </c>
      <c r="CI101" s="305">
        <f t="shared" si="39"/>
        <v>252492</v>
      </c>
      <c r="CJ101" s="306">
        <f t="shared" si="40"/>
        <v>589148</v>
      </c>
      <c r="CK101" s="307" t="e">
        <f>CJ101-#REF!</f>
        <v>#REF!</v>
      </c>
      <c r="CL101" s="592">
        <v>841640</v>
      </c>
      <c r="CM101" s="21">
        <f t="shared" si="27"/>
        <v>1</v>
      </c>
      <c r="CN101" s="21">
        <f t="shared" si="28"/>
        <v>3.3333333333333335</v>
      </c>
      <c r="CO101" s="54"/>
      <c r="CP101" s="622">
        <f t="shared" si="29"/>
        <v>130</v>
      </c>
      <c r="CQ101" s="623">
        <f t="shared" si="30"/>
        <v>110</v>
      </c>
      <c r="CR101" s="624" t="str">
        <f t="shared" si="31"/>
        <v>S</v>
      </c>
      <c r="CS101" s="634">
        <f t="shared" si="32"/>
        <v>244</v>
      </c>
      <c r="CT101" s="591">
        <f t="shared" si="43"/>
        <v>1892000</v>
      </c>
      <c r="CU101" s="591">
        <f t="shared" si="33"/>
        <v>305</v>
      </c>
      <c r="CV101" s="591">
        <v>1500</v>
      </c>
      <c r="CW101" s="54"/>
      <c r="CX101" s="54"/>
      <c r="CY101" s="54"/>
      <c r="CZ101" s="54"/>
      <c r="DA101" s="54">
        <v>1.6875</v>
      </c>
      <c r="DB101" s="54">
        <v>6.25</v>
      </c>
      <c r="DC101" s="649">
        <f t="shared" si="34"/>
        <v>3.7083199999999996</v>
      </c>
    </row>
    <row r="102" spans="1:107" ht="12.75">
      <c r="A102" s="24" t="s">
        <v>1446</v>
      </c>
      <c r="B102" s="69" t="s">
        <v>1446</v>
      </c>
      <c r="C102" s="315" t="s">
        <v>1042</v>
      </c>
      <c r="D102" s="382">
        <v>50</v>
      </c>
      <c r="E102" s="383" t="s">
        <v>205</v>
      </c>
      <c r="F102" s="15">
        <v>3</v>
      </c>
      <c r="G102" s="18">
        <v>2</v>
      </c>
      <c r="H102" s="17">
        <v>8</v>
      </c>
      <c r="I102" s="16">
        <v>0</v>
      </c>
      <c r="J102" s="186">
        <v>8</v>
      </c>
      <c r="K102" s="188">
        <v>3</v>
      </c>
      <c r="L102" s="868">
        <v>170</v>
      </c>
      <c r="M102" s="885">
        <v>60</v>
      </c>
      <c r="N102" s="106">
        <v>400</v>
      </c>
      <c r="O102" s="454">
        <v>5</v>
      </c>
      <c r="P102" s="531">
        <v>5</v>
      </c>
      <c r="Q102" s="340">
        <v>782</v>
      </c>
      <c r="R102" s="98">
        <v>400</v>
      </c>
      <c r="S102" s="326">
        <f t="shared" si="41"/>
        <v>829.0687499999998</v>
      </c>
      <c r="T102" s="342">
        <v>1761</v>
      </c>
      <c r="U102" s="343">
        <v>55000</v>
      </c>
      <c r="V102" s="344">
        <v>5000</v>
      </c>
      <c r="W102" s="289">
        <v>2.43</v>
      </c>
      <c r="X102" s="340">
        <v>730</v>
      </c>
      <c r="Y102" s="43">
        <v>50</v>
      </c>
      <c r="Z102" s="44">
        <v>10</v>
      </c>
      <c r="AA102" s="44">
        <v>35</v>
      </c>
      <c r="AB102" s="49">
        <v>35</v>
      </c>
      <c r="AC102" s="345">
        <v>677</v>
      </c>
      <c r="AD102" s="312">
        <v>625</v>
      </c>
      <c r="AE102" s="292">
        <f t="shared" si="36"/>
        <v>1.0832</v>
      </c>
      <c r="AF102" s="43">
        <v>0</v>
      </c>
      <c r="AG102" s="44">
        <v>50</v>
      </c>
      <c r="AH102" s="44">
        <v>40</v>
      </c>
      <c r="AI102" s="45">
        <v>20</v>
      </c>
      <c r="AJ102" s="5">
        <f t="shared" si="45"/>
        <v>2189</v>
      </c>
      <c r="AK102" s="103" t="str">
        <f t="shared" si="44"/>
        <v>~</v>
      </c>
      <c r="AL102" s="862">
        <v>468</v>
      </c>
      <c r="AM102" s="458">
        <v>312.5</v>
      </c>
      <c r="AN102" s="295">
        <f t="shared" si="37"/>
        <v>1.4976</v>
      </c>
      <c r="AO102" s="145">
        <v>33</v>
      </c>
      <c r="AP102" s="85" t="s">
        <v>462</v>
      </c>
      <c r="AQ102" s="297">
        <v>500</v>
      </c>
      <c r="AR102" s="33">
        <v>0</v>
      </c>
      <c r="AS102" s="34">
        <v>0</v>
      </c>
      <c r="AT102" s="34">
        <v>11</v>
      </c>
      <c r="AU102" s="73">
        <v>0</v>
      </c>
      <c r="AV102" s="39">
        <v>86</v>
      </c>
      <c r="AW102" s="143">
        <v>256</v>
      </c>
      <c r="AX102" s="33">
        <v>0</v>
      </c>
      <c r="AY102" s="34">
        <v>0</v>
      </c>
      <c r="AZ102" s="34">
        <v>6</v>
      </c>
      <c r="BA102" s="84">
        <v>0</v>
      </c>
      <c r="BB102" s="586">
        <v>3</v>
      </c>
      <c r="BC102" s="590">
        <v>8.13E-07</v>
      </c>
      <c r="BD102" s="588">
        <f t="shared" si="26"/>
        <v>204.30357625552406</v>
      </c>
      <c r="BE102" s="299"/>
      <c r="BF102" s="300"/>
      <c r="BG102" s="112"/>
      <c r="BH102" s="541"/>
      <c r="BI102" s="301"/>
      <c r="BJ102" s="696" t="s">
        <v>1476</v>
      </c>
      <c r="BK102" s="13" t="s">
        <v>136</v>
      </c>
      <c r="BL102" s="303" t="s">
        <v>1509</v>
      </c>
      <c r="BM102" s="86" t="s">
        <v>1355</v>
      </c>
      <c r="BN102" s="303" t="s">
        <v>104</v>
      </c>
      <c r="BO102" s="86"/>
      <c r="BP102" s="1" t="s">
        <v>1356</v>
      </c>
      <c r="BR102" s="1">
        <v>326</v>
      </c>
      <c r="BS102" s="21">
        <v>16240</v>
      </c>
      <c r="BT102" s="606"/>
      <c r="BU102" s="601">
        <v>6</v>
      </c>
      <c r="BV102" s="601">
        <v>0.2</v>
      </c>
      <c r="BW102" s="329">
        <f t="shared" si="42"/>
        <v>400</v>
      </c>
      <c r="BX102" s="329">
        <f>IF($F102&gt;0,$BW102*$D$208,"")</f>
        <v>509.99999999999994</v>
      </c>
      <c r="BY102" s="329">
        <f>IF($F102&gt;1,$BX102*$D$209,"")</f>
        <v>650.2499999999999</v>
      </c>
      <c r="BZ102" s="329">
        <f>IF($F102&gt;2,$BY102*$D$210,"")</f>
        <v>829.0687499999998</v>
      </c>
      <c r="CA102" s="329">
        <f>IF($F102&gt;3,$BZ102*$D$211,"")</f>
      </c>
      <c r="CB102" s="329">
        <f>IF($F102&gt;4,$CA102*$D$212,"")</f>
      </c>
      <c r="CC102" s="329">
        <f>IF($F102&gt;5,$CB102*$D$213,"")</f>
      </c>
      <c r="CD102" s="329">
        <f>IF($F102&gt;6,$CC102*$D$214,"")</f>
      </c>
      <c r="CE102" s="485" t="s">
        <v>1217</v>
      </c>
      <c r="CF102" s="854" t="s">
        <v>921</v>
      </c>
      <c r="CG102" s="440" t="s">
        <v>1651</v>
      </c>
      <c r="CH102" s="305">
        <v>788780</v>
      </c>
      <c r="CI102" s="305">
        <f t="shared" si="39"/>
        <v>236634</v>
      </c>
      <c r="CJ102" s="306">
        <f t="shared" si="40"/>
        <v>552146</v>
      </c>
      <c r="CK102" s="307" t="e">
        <f>CJ102-#REF!</f>
        <v>#REF!</v>
      </c>
      <c r="CL102" s="592">
        <v>788780</v>
      </c>
      <c r="CM102" s="21">
        <f t="shared" si="27"/>
        <v>1</v>
      </c>
      <c r="CN102" s="21">
        <f t="shared" si="28"/>
        <v>3.3333333333333335</v>
      </c>
      <c r="CO102" s="54"/>
      <c r="CP102" s="625">
        <f t="shared" si="29"/>
        <v>130</v>
      </c>
      <c r="CQ102" s="623">
        <f t="shared" si="30"/>
        <v>110</v>
      </c>
      <c r="CR102" s="624" t="str">
        <f t="shared" si="31"/>
        <v>~</v>
      </c>
      <c r="CS102" s="634">
        <f t="shared" si="32"/>
        <v>256</v>
      </c>
      <c r="CT102" s="591">
        <f t="shared" si="43"/>
        <v>1761000</v>
      </c>
      <c r="CU102" s="591">
        <f t="shared" si="33"/>
        <v>320</v>
      </c>
      <c r="CV102" s="591">
        <v>1500</v>
      </c>
      <c r="CW102" s="54"/>
      <c r="CX102" s="54"/>
      <c r="CY102" s="54"/>
      <c r="CZ102" s="54"/>
      <c r="DA102" s="54">
        <v>1.6875</v>
      </c>
      <c r="DB102" s="54">
        <v>6.25</v>
      </c>
      <c r="DC102" s="649">
        <f t="shared" si="34"/>
        <v>4.27923</v>
      </c>
    </row>
    <row r="103" spans="1:107" ht="12.75">
      <c r="A103" s="381" t="s">
        <v>42</v>
      </c>
      <c r="B103" s="69" t="s">
        <v>42</v>
      </c>
      <c r="C103" s="319" t="s">
        <v>99</v>
      </c>
      <c r="D103" s="382">
        <v>50</v>
      </c>
      <c r="E103" s="383" t="s">
        <v>205</v>
      </c>
      <c r="F103" s="15">
        <v>2</v>
      </c>
      <c r="G103" s="18">
        <v>3</v>
      </c>
      <c r="H103" s="17">
        <v>8</v>
      </c>
      <c r="I103" s="16">
        <v>1</v>
      </c>
      <c r="J103" s="186">
        <v>7</v>
      </c>
      <c r="K103" s="188">
        <v>3</v>
      </c>
      <c r="L103" s="868">
        <v>170</v>
      </c>
      <c r="M103" s="885">
        <v>70</v>
      </c>
      <c r="N103" s="106">
        <v>400</v>
      </c>
      <c r="O103" s="454">
        <v>0</v>
      </c>
      <c r="P103" s="531">
        <v>0</v>
      </c>
      <c r="Q103" s="340">
        <v>625</v>
      </c>
      <c r="R103" s="341">
        <v>400</v>
      </c>
      <c r="S103" s="358">
        <f t="shared" si="41"/>
        <v>650.2499999999999</v>
      </c>
      <c r="T103" s="342">
        <v>1542</v>
      </c>
      <c r="U103" s="343">
        <v>43000</v>
      </c>
      <c r="V103" s="344">
        <v>5000</v>
      </c>
      <c r="W103" s="289">
        <v>2.38</v>
      </c>
      <c r="X103" s="340">
        <v>677</v>
      </c>
      <c r="Y103" s="43">
        <v>60</v>
      </c>
      <c r="Z103" s="44">
        <v>10</v>
      </c>
      <c r="AA103" s="44">
        <v>25</v>
      </c>
      <c r="AB103" s="49">
        <v>35</v>
      </c>
      <c r="AC103" s="345">
        <v>730</v>
      </c>
      <c r="AD103" s="312">
        <v>625</v>
      </c>
      <c r="AE103" s="292">
        <f t="shared" si="36"/>
        <v>1.168</v>
      </c>
      <c r="AF103" s="43">
        <v>0</v>
      </c>
      <c r="AG103" s="44">
        <v>50</v>
      </c>
      <c r="AH103" s="44">
        <v>40</v>
      </c>
      <c r="AI103" s="45">
        <v>20</v>
      </c>
      <c r="AJ103" s="5">
        <f t="shared" si="45"/>
        <v>2032</v>
      </c>
      <c r="AK103" s="103" t="str">
        <f t="shared" si="44"/>
        <v>~</v>
      </c>
      <c r="AL103" s="862">
        <v>437</v>
      </c>
      <c r="AM103" s="458">
        <v>291.67</v>
      </c>
      <c r="AN103" s="295">
        <f t="shared" si="37"/>
        <v>1.4982685912161002</v>
      </c>
      <c r="AO103" s="145">
        <v>27</v>
      </c>
      <c r="AP103" s="85" t="s">
        <v>465</v>
      </c>
      <c r="AQ103" s="297">
        <v>550</v>
      </c>
      <c r="AR103" s="33">
        <v>0</v>
      </c>
      <c r="AS103" s="34">
        <v>0</v>
      </c>
      <c r="AT103" s="34">
        <v>0</v>
      </c>
      <c r="AU103" s="73">
        <v>9</v>
      </c>
      <c r="AV103" s="39">
        <v>75</v>
      </c>
      <c r="AW103" s="143">
        <v>268</v>
      </c>
      <c r="AX103" s="33">
        <v>0</v>
      </c>
      <c r="AY103" s="34">
        <v>0</v>
      </c>
      <c r="AZ103" s="34">
        <v>0</v>
      </c>
      <c r="BA103" s="84">
        <v>7</v>
      </c>
      <c r="BB103" s="586">
        <v>3</v>
      </c>
      <c r="BC103" s="590">
        <v>8.13E-07</v>
      </c>
      <c r="BD103" s="588">
        <f t="shared" si="26"/>
        <v>217.86453273093042</v>
      </c>
      <c r="BE103" s="299"/>
      <c r="BF103" s="300"/>
      <c r="BG103" s="112"/>
      <c r="BH103" s="541"/>
      <c r="BI103" s="301"/>
      <c r="BJ103" s="696" t="s">
        <v>1476</v>
      </c>
      <c r="BK103" s="13" t="s">
        <v>136</v>
      </c>
      <c r="BL103" s="303" t="s">
        <v>1521</v>
      </c>
      <c r="BM103" s="86" t="s">
        <v>320</v>
      </c>
      <c r="BN103" s="303" t="s">
        <v>104</v>
      </c>
      <c r="BO103" s="86"/>
      <c r="BP103" s="1" t="s">
        <v>321</v>
      </c>
      <c r="BR103" s="1">
        <v>276</v>
      </c>
      <c r="BS103" s="21">
        <v>16242</v>
      </c>
      <c r="BT103" s="606"/>
      <c r="BU103" s="601">
        <v>7</v>
      </c>
      <c r="BV103" s="601">
        <v>0</v>
      </c>
      <c r="BW103" s="329">
        <f t="shared" si="42"/>
        <v>400</v>
      </c>
      <c r="BX103" s="329">
        <f>IF($F103&gt;0,$BW103*$D$208,"")</f>
        <v>509.99999999999994</v>
      </c>
      <c r="BY103" s="329">
        <f>IF($F103&gt;1,$BX103*$D$209,"")</f>
        <v>650.2499999999999</v>
      </c>
      <c r="BZ103" s="329">
        <f>IF($F103&gt;2,$BY103*$D$210,"")</f>
      </c>
      <c r="CA103" s="329">
        <f>IF($F103&gt;3,$BZ103*$D$211,"")</f>
      </c>
      <c r="CB103" s="329">
        <f>IF($F103&gt;4,$CA103*$D$212,"")</f>
      </c>
      <c r="CC103" s="329">
        <f>IF($F103&gt;5,$CB103*$D$213,"")</f>
      </c>
      <c r="CD103" s="329">
        <f>IF($F103&gt;6,$CC103*$D$214,"")</f>
      </c>
      <c r="CE103" s="485" t="s">
        <v>1309</v>
      </c>
      <c r="CF103" s="854" t="s">
        <v>921</v>
      </c>
      <c r="CG103" s="440" t="s">
        <v>1652</v>
      </c>
      <c r="CH103" s="305">
        <v>750000</v>
      </c>
      <c r="CI103" s="305">
        <f t="shared" si="39"/>
        <v>225000</v>
      </c>
      <c r="CJ103" s="306">
        <f t="shared" si="40"/>
        <v>525000</v>
      </c>
      <c r="CK103" s="307" t="e">
        <f>CJ103-#REF!</f>
        <v>#REF!</v>
      </c>
      <c r="CL103" s="592">
        <v>750000</v>
      </c>
      <c r="CM103" s="21">
        <f t="shared" si="27"/>
        <v>1</v>
      </c>
      <c r="CN103" s="21">
        <f t="shared" si="28"/>
        <v>3.3333333333333335</v>
      </c>
      <c r="CO103" s="54"/>
      <c r="CP103" s="625">
        <f t="shared" si="29"/>
        <v>130</v>
      </c>
      <c r="CQ103" s="623">
        <f t="shared" si="30"/>
        <v>110</v>
      </c>
      <c r="CR103" s="624" t="str">
        <f t="shared" si="31"/>
        <v>~</v>
      </c>
      <c r="CS103" s="634">
        <f t="shared" si="32"/>
        <v>268</v>
      </c>
      <c r="CT103" s="591">
        <f t="shared" si="43"/>
        <v>1542000</v>
      </c>
      <c r="CU103" s="591">
        <f t="shared" si="33"/>
        <v>335</v>
      </c>
      <c r="CV103" s="591">
        <v>1500</v>
      </c>
      <c r="CW103" s="54"/>
      <c r="CX103" s="54"/>
      <c r="CY103" s="54"/>
      <c r="CZ103" s="54"/>
      <c r="DA103" s="54">
        <v>1.6875</v>
      </c>
      <c r="DB103" s="54">
        <v>6.25</v>
      </c>
      <c r="DC103" s="649">
        <f t="shared" si="34"/>
        <v>3.66996</v>
      </c>
    </row>
    <row r="104" spans="1:107" ht="12.75">
      <c r="A104" s="24" t="s">
        <v>275</v>
      </c>
      <c r="B104" s="117" t="s">
        <v>1712</v>
      </c>
      <c r="C104" s="308" t="s">
        <v>827</v>
      </c>
      <c r="D104" s="384">
        <v>45</v>
      </c>
      <c r="E104" s="385" t="s">
        <v>1489</v>
      </c>
      <c r="F104" s="15">
        <v>5</v>
      </c>
      <c r="G104" s="18">
        <v>1</v>
      </c>
      <c r="H104" s="17">
        <v>5</v>
      </c>
      <c r="I104" s="16">
        <v>0</v>
      </c>
      <c r="J104" s="738">
        <v>4</v>
      </c>
      <c r="K104" s="188">
        <v>2</v>
      </c>
      <c r="L104" s="868">
        <v>125</v>
      </c>
      <c r="M104" s="885">
        <v>56</v>
      </c>
      <c r="N104" s="106">
        <v>400</v>
      </c>
      <c r="O104" s="454">
        <v>0</v>
      </c>
      <c r="P104" s="531">
        <v>0</v>
      </c>
      <c r="Q104" s="340">
        <v>1019</v>
      </c>
      <c r="R104" s="341">
        <v>135</v>
      </c>
      <c r="S104" s="358">
        <f t="shared" si="41"/>
        <v>454.867274267578</v>
      </c>
      <c r="T104" s="342">
        <v>1171</v>
      </c>
      <c r="U104" s="343">
        <v>28600</v>
      </c>
      <c r="V104" s="344">
        <v>2500</v>
      </c>
      <c r="W104" s="289">
        <v>3.61</v>
      </c>
      <c r="X104" s="340">
        <v>1019</v>
      </c>
      <c r="Y104" s="46">
        <v>50</v>
      </c>
      <c r="Z104" s="48">
        <v>80</v>
      </c>
      <c r="AA104" s="48">
        <v>62.5</v>
      </c>
      <c r="AB104" s="50">
        <v>35</v>
      </c>
      <c r="AC104" s="345">
        <v>316</v>
      </c>
      <c r="AD104" s="312">
        <v>625</v>
      </c>
      <c r="AE104" s="292">
        <f t="shared" si="36"/>
        <v>0.5056</v>
      </c>
      <c r="AF104" s="46">
        <v>0</v>
      </c>
      <c r="AG104" s="48">
        <v>87.5</v>
      </c>
      <c r="AH104" s="48">
        <v>70</v>
      </c>
      <c r="AI104" s="47">
        <v>20</v>
      </c>
      <c r="AJ104" s="5">
        <f t="shared" si="45"/>
        <v>2354</v>
      </c>
      <c r="AK104" s="103" t="str">
        <f t="shared" si="44"/>
        <v>A</v>
      </c>
      <c r="AL104" s="862">
        <v>437</v>
      </c>
      <c r="AM104" s="458">
        <v>187.5</v>
      </c>
      <c r="AN104" s="295">
        <f t="shared" si="37"/>
        <v>2.3306666666666667</v>
      </c>
      <c r="AO104" s="145">
        <v>40</v>
      </c>
      <c r="AP104" s="85" t="s">
        <v>1267</v>
      </c>
      <c r="AQ104" s="297">
        <v>650</v>
      </c>
      <c r="AR104" s="33">
        <v>12</v>
      </c>
      <c r="AS104" s="34">
        <v>0</v>
      </c>
      <c r="AT104" s="34">
        <v>0</v>
      </c>
      <c r="AU104" s="73">
        <v>0</v>
      </c>
      <c r="AV104" s="39">
        <v>35</v>
      </c>
      <c r="AW104" s="143">
        <v>278</v>
      </c>
      <c r="AX104" s="33">
        <v>7</v>
      </c>
      <c r="AY104" s="34">
        <v>0</v>
      </c>
      <c r="AZ104" s="34">
        <v>0</v>
      </c>
      <c r="BA104" s="84">
        <v>0</v>
      </c>
      <c r="BB104" s="586">
        <v>6</v>
      </c>
      <c r="BC104" s="590">
        <v>1.34771E-06</v>
      </c>
      <c r="BD104" s="588">
        <f t="shared" si="26"/>
        <v>173.0645463876697</v>
      </c>
      <c r="BE104" s="299"/>
      <c r="BF104" s="300"/>
      <c r="BG104" s="112"/>
      <c r="BH104" s="541"/>
      <c r="BI104" s="301">
        <v>2</v>
      </c>
      <c r="BJ104" s="346" t="s">
        <v>1401</v>
      </c>
      <c r="BK104" s="13" t="s">
        <v>136</v>
      </c>
      <c r="BL104" s="303" t="s">
        <v>1236</v>
      </c>
      <c r="BM104" s="86" t="s">
        <v>595</v>
      </c>
      <c r="BN104" s="303" t="s">
        <v>1079</v>
      </c>
      <c r="BO104" s="86"/>
      <c r="BP104" s="1" t="s">
        <v>596</v>
      </c>
      <c r="BR104" s="1">
        <v>80</v>
      </c>
      <c r="BS104" s="21">
        <v>11393</v>
      </c>
      <c r="BT104" s="606"/>
      <c r="BU104" s="601">
        <v>5</v>
      </c>
      <c r="BV104" s="601">
        <v>0</v>
      </c>
      <c r="BW104" s="329">
        <f t="shared" si="42"/>
        <v>135</v>
      </c>
      <c r="BX104" s="329">
        <f>IF($F104&gt;0,$BW104*$D$208,"")</f>
        <v>172.125</v>
      </c>
      <c r="BY104" s="329">
        <f>IF($F104&gt;1,$BX104*$D$209,"")</f>
        <v>219.459375</v>
      </c>
      <c r="BZ104" s="329">
        <f>IF($F104&gt;2,$BY104*$D$210,"")</f>
        <v>279.810703125</v>
      </c>
      <c r="CA104" s="329">
        <f>IF($F104&gt;3,$BZ104*$D$211,"")</f>
        <v>356.75864648437494</v>
      </c>
      <c r="CB104" s="329">
        <f>IF($F104&gt;4,$CA104*$D$212,"")</f>
        <v>454.867274267578</v>
      </c>
      <c r="CC104" s="329">
        <f>IF($F104&gt;5,$CB104*$D$213,"")</f>
      </c>
      <c r="CD104" s="329">
        <f>IF($F104&gt;6,$CC104*$D$214,"")</f>
      </c>
      <c r="CE104" s="485" t="s">
        <v>1602</v>
      </c>
      <c r="CF104" s="854" t="s">
        <v>584</v>
      </c>
      <c r="CG104" s="440" t="s">
        <v>740</v>
      </c>
      <c r="CH104" s="305">
        <v>3433904</v>
      </c>
      <c r="CI104" s="305">
        <f t="shared" si="39"/>
        <v>1030171.2</v>
      </c>
      <c r="CJ104" s="306">
        <f t="shared" si="40"/>
        <v>2403732.8</v>
      </c>
      <c r="CK104" s="307" t="e">
        <f>CJ104-#REF!</f>
        <v>#REF!</v>
      </c>
      <c r="CL104" s="591">
        <v>3433904</v>
      </c>
      <c r="CM104" s="21">
        <f t="shared" si="27"/>
        <v>1</v>
      </c>
      <c r="CN104" s="21">
        <f t="shared" si="28"/>
        <v>3.3333333333333335</v>
      </c>
      <c r="CO104" s="54"/>
      <c r="CP104" s="625">
        <f t="shared" si="29"/>
        <v>227.5</v>
      </c>
      <c r="CQ104" s="626">
        <f t="shared" si="30"/>
        <v>177.5</v>
      </c>
      <c r="CR104" s="624" t="str">
        <f t="shared" si="31"/>
        <v>A</v>
      </c>
      <c r="CS104" s="634">
        <f t="shared" si="32"/>
        <v>278</v>
      </c>
      <c r="CT104" s="591">
        <f t="shared" si="43"/>
        <v>1171000</v>
      </c>
      <c r="CU104" s="591">
        <f t="shared" si="33"/>
        <v>347.5</v>
      </c>
      <c r="CV104" s="591">
        <v>1500</v>
      </c>
      <c r="CW104" s="54"/>
      <c r="CX104" s="54"/>
      <c r="CY104" s="54"/>
      <c r="CZ104" s="54"/>
      <c r="DA104" s="54">
        <v>1.6875</v>
      </c>
      <c r="DB104" s="54">
        <v>6.25</v>
      </c>
      <c r="DC104" s="649">
        <f t="shared" si="34"/>
        <v>4.227309999999999</v>
      </c>
    </row>
    <row r="105" spans="1:107" ht="12.75">
      <c r="A105" s="24" t="s">
        <v>598</v>
      </c>
      <c r="B105" s="117" t="s">
        <v>1712</v>
      </c>
      <c r="C105" s="308" t="s">
        <v>827</v>
      </c>
      <c r="D105" s="384">
        <v>45</v>
      </c>
      <c r="E105" s="385" t="s">
        <v>1489</v>
      </c>
      <c r="F105" s="15">
        <v>4</v>
      </c>
      <c r="G105" s="18">
        <v>3</v>
      </c>
      <c r="H105" s="17">
        <v>4</v>
      </c>
      <c r="I105" s="740">
        <v>4</v>
      </c>
      <c r="J105" s="324">
        <v>3</v>
      </c>
      <c r="K105" s="188">
        <v>2</v>
      </c>
      <c r="L105" s="868">
        <v>160</v>
      </c>
      <c r="M105" s="885">
        <v>43</v>
      </c>
      <c r="N105" s="106">
        <v>400</v>
      </c>
      <c r="O105" s="454">
        <v>0</v>
      </c>
      <c r="P105" s="531">
        <v>0</v>
      </c>
      <c r="Q105" s="340">
        <v>563</v>
      </c>
      <c r="R105" s="341">
        <v>210</v>
      </c>
      <c r="S105" s="358">
        <f t="shared" si="41"/>
        <v>554.9578945312498</v>
      </c>
      <c r="T105" s="342">
        <v>1163</v>
      </c>
      <c r="U105" s="343">
        <v>28600</v>
      </c>
      <c r="V105" s="344">
        <v>2500</v>
      </c>
      <c r="W105" s="289">
        <v>3.73</v>
      </c>
      <c r="X105" s="340">
        <v>816</v>
      </c>
      <c r="Y105" s="46">
        <v>50</v>
      </c>
      <c r="Z105" s="48">
        <v>80</v>
      </c>
      <c r="AA105" s="48">
        <v>62.5</v>
      </c>
      <c r="AB105" s="50">
        <v>35</v>
      </c>
      <c r="AC105" s="345">
        <v>664</v>
      </c>
      <c r="AD105" s="312">
        <v>625</v>
      </c>
      <c r="AE105" s="292">
        <f t="shared" si="36"/>
        <v>1.0624</v>
      </c>
      <c r="AF105" s="46">
        <v>0</v>
      </c>
      <c r="AG105" s="48">
        <v>87.5</v>
      </c>
      <c r="AH105" s="48">
        <v>70</v>
      </c>
      <c r="AI105" s="47">
        <v>20</v>
      </c>
      <c r="AJ105" s="5">
        <f t="shared" si="45"/>
        <v>2043</v>
      </c>
      <c r="AK105" s="103" t="str">
        <f t="shared" si="44"/>
        <v>A</v>
      </c>
      <c r="AL105" s="862">
        <v>375</v>
      </c>
      <c r="AM105" s="926">
        <v>187.5</v>
      </c>
      <c r="AN105" s="295">
        <f t="shared" si="37"/>
        <v>2</v>
      </c>
      <c r="AO105" s="145">
        <v>38</v>
      </c>
      <c r="AP105" s="85" t="s">
        <v>1267</v>
      </c>
      <c r="AQ105" s="297">
        <v>655</v>
      </c>
      <c r="AR105" s="33">
        <v>14</v>
      </c>
      <c r="AS105" s="34">
        <v>0</v>
      </c>
      <c r="AT105" s="34">
        <v>0</v>
      </c>
      <c r="AU105" s="73">
        <v>0</v>
      </c>
      <c r="AV105" s="39">
        <v>37</v>
      </c>
      <c r="AW105" s="143">
        <v>273</v>
      </c>
      <c r="AX105" s="33">
        <v>7</v>
      </c>
      <c r="AY105" s="34">
        <v>0</v>
      </c>
      <c r="AZ105" s="34">
        <v>0</v>
      </c>
      <c r="BA105" s="84">
        <v>0</v>
      </c>
      <c r="BB105" s="586">
        <v>6</v>
      </c>
      <c r="BC105" s="590">
        <v>1.34771E-06</v>
      </c>
      <c r="BD105" s="588">
        <f t="shared" si="26"/>
        <v>149.5323365408357</v>
      </c>
      <c r="BE105" s="299"/>
      <c r="BF105" s="300"/>
      <c r="BG105" s="112"/>
      <c r="BH105" s="541"/>
      <c r="BI105" s="301">
        <v>1</v>
      </c>
      <c r="BJ105" s="346" t="s">
        <v>1401</v>
      </c>
      <c r="BK105" s="13" t="s">
        <v>1671</v>
      </c>
      <c r="BL105" s="303" t="s">
        <v>663</v>
      </c>
      <c r="BM105" s="86" t="s">
        <v>1063</v>
      </c>
      <c r="BN105" s="303" t="s">
        <v>1174</v>
      </c>
      <c r="BO105" s="86"/>
      <c r="BP105" s="1" t="s">
        <v>598</v>
      </c>
      <c r="BR105" s="1">
        <v>80</v>
      </c>
      <c r="BS105" s="21">
        <v>11365</v>
      </c>
      <c r="BT105" s="605"/>
      <c r="BU105" s="600">
        <v>5</v>
      </c>
      <c r="BV105" s="601">
        <v>0</v>
      </c>
      <c r="BW105" s="329">
        <f t="shared" si="42"/>
        <v>210</v>
      </c>
      <c r="BX105" s="329">
        <f>IF($F105&gt;0,$BW105*$D$208,"")</f>
        <v>267.75</v>
      </c>
      <c r="BY105" s="329">
        <f>IF($F105&gt;1,$BX105*$D$209,"")</f>
        <v>341.38124999999997</v>
      </c>
      <c r="BZ105" s="329">
        <f>IF($F105&gt;2,$BY105*$D$210,"")</f>
        <v>435.26109374999993</v>
      </c>
      <c r="CA105" s="329">
        <f>IF($F105&gt;3,$BZ105*$D$211,"")</f>
        <v>554.9578945312498</v>
      </c>
      <c r="CB105" s="329">
        <f>IF($F105&gt;4,$CA105*$D$212,"")</f>
      </c>
      <c r="CC105" s="329">
        <f>IF($F105&gt;5,$CB105*$D$213,"")</f>
      </c>
      <c r="CD105" s="329">
        <f>IF($F105&gt;6,$CC105*$D$214,"")</f>
      </c>
      <c r="CE105" s="485" t="s">
        <v>915</v>
      </c>
      <c r="CF105" s="854" t="s">
        <v>584</v>
      </c>
      <c r="CG105" s="440" t="s">
        <v>741</v>
      </c>
      <c r="CH105" s="305">
        <v>3402384</v>
      </c>
      <c r="CI105" s="305">
        <f t="shared" si="39"/>
        <v>1020715.2</v>
      </c>
      <c r="CJ105" s="306">
        <f t="shared" si="40"/>
        <v>2381668.8</v>
      </c>
      <c r="CK105" s="307" t="e">
        <f>CJ105-#REF!</f>
        <v>#REF!</v>
      </c>
      <c r="CL105" s="591">
        <v>3402384</v>
      </c>
      <c r="CM105" s="21">
        <f t="shared" si="27"/>
        <v>1</v>
      </c>
      <c r="CN105" s="21">
        <f t="shared" si="28"/>
        <v>3.3333333333333335</v>
      </c>
      <c r="CO105" s="54"/>
      <c r="CP105" s="625">
        <f t="shared" si="29"/>
        <v>227.5</v>
      </c>
      <c r="CQ105" s="626">
        <f t="shared" si="30"/>
        <v>177.5</v>
      </c>
      <c r="CR105" s="624" t="str">
        <f t="shared" si="31"/>
        <v>A</v>
      </c>
      <c r="CS105" s="634">
        <f t="shared" si="32"/>
        <v>273</v>
      </c>
      <c r="CT105" s="591">
        <f t="shared" si="43"/>
        <v>1163000</v>
      </c>
      <c r="CU105" s="591">
        <f t="shared" si="33"/>
        <v>341.25</v>
      </c>
      <c r="CV105" s="591">
        <v>1500</v>
      </c>
      <c r="CW105" s="54"/>
      <c r="CX105" s="54"/>
      <c r="CY105" s="54"/>
      <c r="CZ105" s="54"/>
      <c r="DA105" s="54">
        <v>1.6875</v>
      </c>
      <c r="DB105" s="54">
        <v>6.25</v>
      </c>
      <c r="DC105" s="649">
        <f t="shared" si="34"/>
        <v>4.33799</v>
      </c>
    </row>
    <row r="106" spans="1:107" ht="12.75">
      <c r="A106" s="24" t="s">
        <v>854</v>
      </c>
      <c r="B106" s="117" t="s">
        <v>1253</v>
      </c>
      <c r="C106" s="636" t="s">
        <v>865</v>
      </c>
      <c r="D106" s="384">
        <v>45</v>
      </c>
      <c r="E106" s="385" t="s">
        <v>1489</v>
      </c>
      <c r="F106" s="15">
        <v>2</v>
      </c>
      <c r="G106" s="18">
        <v>4</v>
      </c>
      <c r="H106" s="17">
        <v>5</v>
      </c>
      <c r="I106" s="16">
        <v>1</v>
      </c>
      <c r="J106" s="741">
        <v>4</v>
      </c>
      <c r="K106" s="188">
        <v>2</v>
      </c>
      <c r="L106" s="868">
        <v>175</v>
      </c>
      <c r="M106" s="885">
        <v>50</v>
      </c>
      <c r="N106" s="106">
        <v>400</v>
      </c>
      <c r="O106" s="454">
        <v>0</v>
      </c>
      <c r="P106" s="531">
        <v>0</v>
      </c>
      <c r="Q106" s="340">
        <v>534</v>
      </c>
      <c r="R106" s="341">
        <v>165</v>
      </c>
      <c r="S106" s="358">
        <f t="shared" si="41"/>
        <v>268.2281249999999</v>
      </c>
      <c r="T106" s="342">
        <v>1155</v>
      </c>
      <c r="U106" s="343">
        <v>16500</v>
      </c>
      <c r="V106" s="344">
        <v>2500</v>
      </c>
      <c r="W106" s="289">
        <v>3.34</v>
      </c>
      <c r="X106" s="340">
        <v>457</v>
      </c>
      <c r="Y106" s="46">
        <v>50</v>
      </c>
      <c r="Z106" s="48">
        <v>10</v>
      </c>
      <c r="AA106" s="48">
        <v>62.5</v>
      </c>
      <c r="AB106" s="50">
        <v>86.25</v>
      </c>
      <c r="AC106" s="345">
        <v>879</v>
      </c>
      <c r="AD106" s="312">
        <v>625</v>
      </c>
      <c r="AE106" s="292">
        <f t="shared" si="36"/>
        <v>1.4064</v>
      </c>
      <c r="AF106" s="46">
        <v>0</v>
      </c>
      <c r="AG106" s="48">
        <v>50</v>
      </c>
      <c r="AH106" s="48">
        <v>70</v>
      </c>
      <c r="AI106" s="47">
        <v>80</v>
      </c>
      <c r="AJ106" s="5">
        <f t="shared" si="45"/>
        <v>1870</v>
      </c>
      <c r="AK106" s="103" t="str">
        <f t="shared" si="44"/>
        <v>S</v>
      </c>
      <c r="AL106" s="862">
        <v>343</v>
      </c>
      <c r="AM106" s="458">
        <v>187.5</v>
      </c>
      <c r="AN106" s="295">
        <f t="shared" si="37"/>
        <v>1.8293333333333333</v>
      </c>
      <c r="AO106" s="145">
        <v>50</v>
      </c>
      <c r="AP106" s="85" t="s">
        <v>465</v>
      </c>
      <c r="AQ106" s="297">
        <v>500</v>
      </c>
      <c r="AR106" s="33">
        <v>0</v>
      </c>
      <c r="AS106" s="34">
        <v>15</v>
      </c>
      <c r="AT106" s="34">
        <v>0</v>
      </c>
      <c r="AU106" s="73">
        <v>0</v>
      </c>
      <c r="AV106" s="39">
        <v>37</v>
      </c>
      <c r="AW106" s="143">
        <v>264</v>
      </c>
      <c r="AX106" s="33">
        <v>0</v>
      </c>
      <c r="AY106" s="34">
        <v>6</v>
      </c>
      <c r="AZ106" s="34">
        <v>0</v>
      </c>
      <c r="BA106" s="84">
        <v>0</v>
      </c>
      <c r="BB106" s="586">
        <v>6</v>
      </c>
      <c r="BC106" s="590">
        <v>1.34771E-06</v>
      </c>
      <c r="BD106" s="588">
        <f t="shared" si="26"/>
        <v>137.71958403963805</v>
      </c>
      <c r="BE106" s="299"/>
      <c r="BF106" s="300"/>
      <c r="BG106" s="112"/>
      <c r="BH106" s="541"/>
      <c r="BI106" s="301">
        <v>1</v>
      </c>
      <c r="BJ106" s="346" t="s">
        <v>1401</v>
      </c>
      <c r="BK106" s="13" t="s">
        <v>136</v>
      </c>
      <c r="BL106" s="303" t="s">
        <v>689</v>
      </c>
      <c r="BM106" s="86" t="s">
        <v>68</v>
      </c>
      <c r="BN106" s="303" t="s">
        <v>1080</v>
      </c>
      <c r="BO106" s="86"/>
      <c r="BP106" s="1" t="s">
        <v>69</v>
      </c>
      <c r="BR106" s="1">
        <v>78</v>
      </c>
      <c r="BS106" s="21">
        <v>11381</v>
      </c>
      <c r="BT106" s="605"/>
      <c r="BU106" s="600">
        <v>5</v>
      </c>
      <c r="BV106" s="601">
        <v>0</v>
      </c>
      <c r="BW106" s="329">
        <f t="shared" si="42"/>
        <v>165</v>
      </c>
      <c r="BX106" s="329">
        <f>IF($F106&gt;0,$BW106*$D$208,"")</f>
        <v>210.37499999999997</v>
      </c>
      <c r="BY106" s="329">
        <f>IF($F106&gt;1,$BX106*$D$209,"")</f>
        <v>268.2281249999999</v>
      </c>
      <c r="BZ106" s="329">
        <f>IF($F106&gt;2,$BY106*$D$210,"")</f>
      </c>
      <c r="CA106" s="329">
        <f>IF($F106&gt;3,$BZ106*$D$211,"")</f>
      </c>
      <c r="CB106" s="329">
        <f>IF($F106&gt;4,$CA106*$D$212,"")</f>
      </c>
      <c r="CC106" s="329">
        <f>IF($F106&gt;5,$CB106*$D$213,"")</f>
      </c>
      <c r="CD106" s="329">
        <f>IF($F106&gt;6,$CC106*$D$214,"")</f>
      </c>
      <c r="CE106" s="485" t="s">
        <v>907</v>
      </c>
      <c r="CF106" s="854" t="s">
        <v>584</v>
      </c>
      <c r="CG106" s="440" t="s">
        <v>742</v>
      </c>
      <c r="CH106" s="305">
        <v>3412932</v>
      </c>
      <c r="CI106" s="305">
        <f t="shared" si="39"/>
        <v>1023879.6</v>
      </c>
      <c r="CJ106" s="306">
        <f t="shared" si="40"/>
        <v>2389052.4</v>
      </c>
      <c r="CK106" s="307" t="e">
        <f>CJ106-#REF!</f>
        <v>#REF!</v>
      </c>
      <c r="CL106" s="591">
        <v>3412932</v>
      </c>
      <c r="CM106" s="21">
        <f t="shared" si="27"/>
        <v>1</v>
      </c>
      <c r="CN106" s="21">
        <f t="shared" si="28"/>
        <v>3.3333333333333335</v>
      </c>
      <c r="CO106" s="54"/>
      <c r="CP106" s="622">
        <f t="shared" si="29"/>
        <v>208.75</v>
      </c>
      <c r="CQ106" s="623">
        <f t="shared" si="30"/>
        <v>200</v>
      </c>
      <c r="CR106" s="624" t="str">
        <f t="shared" si="31"/>
        <v>S</v>
      </c>
      <c r="CS106" s="634">
        <f t="shared" si="32"/>
        <v>264</v>
      </c>
      <c r="CT106" s="591">
        <f t="shared" si="43"/>
        <v>1155000</v>
      </c>
      <c r="CU106" s="591">
        <f t="shared" si="33"/>
        <v>330</v>
      </c>
      <c r="CV106" s="591">
        <v>1500</v>
      </c>
      <c r="CW106" s="54"/>
      <c r="CX106" s="54"/>
      <c r="CY106" s="54"/>
      <c r="CZ106" s="54"/>
      <c r="DA106" s="54">
        <v>1.6875</v>
      </c>
      <c r="DB106" s="54">
        <v>6.25</v>
      </c>
      <c r="DC106" s="649">
        <f t="shared" si="34"/>
        <v>3.8577</v>
      </c>
    </row>
    <row r="107" spans="1:107" ht="12.75">
      <c r="A107" s="24" t="s">
        <v>71</v>
      </c>
      <c r="B107" s="117" t="s">
        <v>1253</v>
      </c>
      <c r="C107" s="636" t="s">
        <v>865</v>
      </c>
      <c r="D107" s="384">
        <v>45</v>
      </c>
      <c r="E107" s="385" t="s">
        <v>1489</v>
      </c>
      <c r="F107" s="15">
        <v>2</v>
      </c>
      <c r="G107" s="18">
        <v>4</v>
      </c>
      <c r="H107" s="17">
        <v>5</v>
      </c>
      <c r="I107" s="740">
        <v>4</v>
      </c>
      <c r="J107" s="324">
        <v>2</v>
      </c>
      <c r="K107" s="188">
        <v>2</v>
      </c>
      <c r="L107" s="868">
        <v>180</v>
      </c>
      <c r="M107" s="885">
        <v>42</v>
      </c>
      <c r="N107" s="106">
        <v>400</v>
      </c>
      <c r="O107" s="454">
        <v>0</v>
      </c>
      <c r="P107" s="531">
        <v>0</v>
      </c>
      <c r="Q107" s="340">
        <v>506</v>
      </c>
      <c r="R107" s="341">
        <v>300</v>
      </c>
      <c r="S107" s="358">
        <f t="shared" si="41"/>
        <v>487.68749999999994</v>
      </c>
      <c r="T107" s="342">
        <v>1217</v>
      </c>
      <c r="U107" s="343">
        <v>16500</v>
      </c>
      <c r="V107" s="344">
        <v>2500</v>
      </c>
      <c r="W107" s="289">
        <v>3.3</v>
      </c>
      <c r="X107" s="340">
        <v>387</v>
      </c>
      <c r="Y107" s="46">
        <v>50</v>
      </c>
      <c r="Z107" s="48">
        <v>10</v>
      </c>
      <c r="AA107" s="48">
        <v>62.5</v>
      </c>
      <c r="AB107" s="50">
        <v>86.25</v>
      </c>
      <c r="AC107" s="914">
        <v>935</v>
      </c>
      <c r="AD107" s="312">
        <v>625</v>
      </c>
      <c r="AE107" s="292">
        <f t="shared" si="36"/>
        <v>1.496</v>
      </c>
      <c r="AF107" s="46">
        <v>0</v>
      </c>
      <c r="AG107" s="48">
        <v>50</v>
      </c>
      <c r="AH107" s="48">
        <v>70</v>
      </c>
      <c r="AI107" s="47">
        <v>80</v>
      </c>
      <c r="AJ107" s="5">
        <f t="shared" si="45"/>
        <v>1828</v>
      </c>
      <c r="AK107" s="103" t="str">
        <f t="shared" si="44"/>
        <v>S</v>
      </c>
      <c r="AL107" s="862">
        <v>312</v>
      </c>
      <c r="AM107" s="458">
        <v>187.5</v>
      </c>
      <c r="AN107" s="295">
        <f t="shared" si="37"/>
        <v>1.664</v>
      </c>
      <c r="AO107" s="145">
        <v>45</v>
      </c>
      <c r="AP107" s="85" t="s">
        <v>465</v>
      </c>
      <c r="AQ107" s="297">
        <v>575</v>
      </c>
      <c r="AR107" s="33">
        <v>0</v>
      </c>
      <c r="AS107" s="34">
        <v>16</v>
      </c>
      <c r="AT107" s="34">
        <v>0</v>
      </c>
      <c r="AU107" s="73">
        <v>0</v>
      </c>
      <c r="AV107" s="39">
        <v>39</v>
      </c>
      <c r="AW107" s="143">
        <v>273</v>
      </c>
      <c r="AX107" s="33">
        <v>0</v>
      </c>
      <c r="AY107" s="34">
        <v>6</v>
      </c>
      <c r="AZ107" s="34">
        <v>0</v>
      </c>
      <c r="BA107" s="84">
        <v>0</v>
      </c>
      <c r="BB107" s="586">
        <v>6</v>
      </c>
      <c r="BC107" s="590">
        <v>1.34771E-06</v>
      </c>
      <c r="BD107" s="588">
        <f t="shared" si="26"/>
        <v>118.89061738233137</v>
      </c>
      <c r="BE107" s="299"/>
      <c r="BF107" s="300"/>
      <c r="BG107" s="112"/>
      <c r="BH107" s="541"/>
      <c r="BI107" s="301">
        <v>2</v>
      </c>
      <c r="BJ107" s="346" t="s">
        <v>1401</v>
      </c>
      <c r="BK107" s="13" t="s">
        <v>1671</v>
      </c>
      <c r="BL107" s="303" t="s">
        <v>690</v>
      </c>
      <c r="BM107" s="86" t="s">
        <v>483</v>
      </c>
      <c r="BN107" s="303" t="s">
        <v>1229</v>
      </c>
      <c r="BO107" s="86"/>
      <c r="BP107" s="1" t="s">
        <v>172</v>
      </c>
      <c r="BR107" s="1">
        <v>78</v>
      </c>
      <c r="BS107" s="21">
        <v>11379</v>
      </c>
      <c r="BT107" s="605"/>
      <c r="BU107" s="600">
        <v>5</v>
      </c>
      <c r="BV107" s="601">
        <v>0</v>
      </c>
      <c r="BW107" s="329">
        <f t="shared" si="42"/>
        <v>300</v>
      </c>
      <c r="BX107" s="329">
        <f>IF($F107&gt;0,$BW107*$D$208,"")</f>
        <v>382.5</v>
      </c>
      <c r="BY107" s="329">
        <f>IF($F107&gt;1,$BX107*$D$209,"")</f>
        <v>487.68749999999994</v>
      </c>
      <c r="BZ107" s="329">
        <f>IF($F107&gt;2,$BY107*$D$210,"")</f>
      </c>
      <c r="CA107" s="329">
        <f>IF($F107&gt;3,$BZ107*$D$211,"")</f>
      </c>
      <c r="CB107" s="329">
        <f>IF($F107&gt;4,$CA107*$D$212,"")</f>
      </c>
      <c r="CC107" s="329">
        <f>IF($F107&gt;5,$CB107*$D$213,"")</f>
      </c>
      <c r="CD107" s="329">
        <f>IF($F107&gt;6,$CC107*$D$214,"")</f>
      </c>
      <c r="CE107" s="485" t="s">
        <v>2</v>
      </c>
      <c r="CF107" s="854" t="s">
        <v>584</v>
      </c>
      <c r="CG107" s="440" t="s">
        <v>743</v>
      </c>
      <c r="CH107" s="305">
        <v>3445488</v>
      </c>
      <c r="CI107" s="305">
        <f t="shared" si="39"/>
        <v>1033646.3999999999</v>
      </c>
      <c r="CJ107" s="306">
        <f t="shared" si="40"/>
        <v>2411841.6</v>
      </c>
      <c r="CK107" s="307" t="e">
        <f>CJ107-#REF!</f>
        <v>#REF!</v>
      </c>
      <c r="CL107" s="591">
        <v>3445488</v>
      </c>
      <c r="CM107" s="21">
        <f t="shared" si="27"/>
        <v>1</v>
      </c>
      <c r="CN107" s="21">
        <f t="shared" si="28"/>
        <v>3.3333333333333335</v>
      </c>
      <c r="CO107" s="54"/>
      <c r="CP107" s="622">
        <f t="shared" si="29"/>
        <v>208.75</v>
      </c>
      <c r="CQ107" s="623">
        <f t="shared" si="30"/>
        <v>200</v>
      </c>
      <c r="CR107" s="624" t="str">
        <f t="shared" si="31"/>
        <v>S</v>
      </c>
      <c r="CS107" s="634">
        <f t="shared" si="32"/>
        <v>273</v>
      </c>
      <c r="CT107" s="591">
        <f t="shared" si="43"/>
        <v>1217000</v>
      </c>
      <c r="CU107" s="591">
        <f t="shared" si="33"/>
        <v>341.25</v>
      </c>
      <c r="CV107" s="591">
        <v>1500</v>
      </c>
      <c r="CW107" s="54"/>
      <c r="CX107" s="54"/>
      <c r="CY107" s="54"/>
      <c r="CZ107" s="54"/>
      <c r="DA107" s="54">
        <v>1.6875</v>
      </c>
      <c r="DB107" s="54">
        <v>6.25</v>
      </c>
      <c r="DC107" s="649">
        <f t="shared" si="34"/>
        <v>4.0161</v>
      </c>
    </row>
    <row r="108" spans="1:107" ht="12.75">
      <c r="A108" s="24" t="s">
        <v>485</v>
      </c>
      <c r="B108" s="117" t="s">
        <v>486</v>
      </c>
      <c r="C108" s="315" t="s">
        <v>1042</v>
      </c>
      <c r="D108" s="384">
        <v>45</v>
      </c>
      <c r="E108" s="385" t="s">
        <v>1489</v>
      </c>
      <c r="F108" s="15">
        <v>4</v>
      </c>
      <c r="G108" s="18">
        <v>2</v>
      </c>
      <c r="H108" s="17">
        <v>5</v>
      </c>
      <c r="I108" s="16">
        <v>1</v>
      </c>
      <c r="J108" s="737">
        <v>4</v>
      </c>
      <c r="K108" s="188">
        <v>2</v>
      </c>
      <c r="L108" s="868">
        <v>145</v>
      </c>
      <c r="M108" s="885">
        <v>50</v>
      </c>
      <c r="N108" s="106">
        <v>400</v>
      </c>
      <c r="O108" s="454">
        <v>5</v>
      </c>
      <c r="P108" s="531">
        <v>5</v>
      </c>
      <c r="Q108" s="340">
        <v>1196</v>
      </c>
      <c r="R108" s="341">
        <v>165</v>
      </c>
      <c r="S108" s="358">
        <f t="shared" si="41"/>
        <v>436.03834570312483</v>
      </c>
      <c r="T108" s="352">
        <v>1171</v>
      </c>
      <c r="U108" s="359">
        <v>29500</v>
      </c>
      <c r="V108" s="360">
        <v>2500</v>
      </c>
      <c r="W108" s="289">
        <v>3.61</v>
      </c>
      <c r="X108" s="340">
        <v>879</v>
      </c>
      <c r="Y108" s="46">
        <v>50</v>
      </c>
      <c r="Z108" s="48">
        <v>10</v>
      </c>
      <c r="AA108" s="48">
        <v>83.75</v>
      </c>
      <c r="AB108" s="50">
        <v>67.5</v>
      </c>
      <c r="AC108" s="345">
        <v>372</v>
      </c>
      <c r="AD108" s="312">
        <v>625</v>
      </c>
      <c r="AE108" s="292">
        <f aca="true" t="shared" si="46" ref="AE108:AE144">AC108/AD108</f>
        <v>0.5952</v>
      </c>
      <c r="AF108" s="46">
        <v>0</v>
      </c>
      <c r="AG108" s="48">
        <v>50</v>
      </c>
      <c r="AH108" s="48">
        <v>85</v>
      </c>
      <c r="AI108" s="47">
        <v>60</v>
      </c>
      <c r="AJ108" s="5">
        <f t="shared" si="45"/>
        <v>2447</v>
      </c>
      <c r="AK108" s="103" t="str">
        <f t="shared" si="44"/>
        <v>A</v>
      </c>
      <c r="AL108" s="862">
        <v>343</v>
      </c>
      <c r="AM108" s="458">
        <v>187.5</v>
      </c>
      <c r="AN108" s="295">
        <f t="shared" si="37"/>
        <v>1.8293333333333333</v>
      </c>
      <c r="AO108" s="145">
        <v>42</v>
      </c>
      <c r="AP108" s="85" t="s">
        <v>465</v>
      </c>
      <c r="AQ108" s="297">
        <v>625</v>
      </c>
      <c r="AR108" s="33">
        <v>0</v>
      </c>
      <c r="AS108" s="34">
        <v>0</v>
      </c>
      <c r="AT108" s="34">
        <v>11</v>
      </c>
      <c r="AU108" s="73">
        <v>0</v>
      </c>
      <c r="AV108" s="39">
        <v>37</v>
      </c>
      <c r="AW108" s="143">
        <v>278</v>
      </c>
      <c r="AX108" s="33">
        <v>0</v>
      </c>
      <c r="AY108" s="34">
        <v>0</v>
      </c>
      <c r="AZ108" s="34">
        <v>7</v>
      </c>
      <c r="BA108" s="84">
        <v>0</v>
      </c>
      <c r="BB108" s="586">
        <v>6</v>
      </c>
      <c r="BC108" s="590">
        <v>1.34771E-06</v>
      </c>
      <c r="BD108" s="588">
        <f t="shared" si="26"/>
        <v>135.83784762235862</v>
      </c>
      <c r="BE108" s="299"/>
      <c r="BF108" s="300"/>
      <c r="BG108" s="112"/>
      <c r="BH108" s="541"/>
      <c r="BI108" s="301">
        <v>2</v>
      </c>
      <c r="BJ108" s="346" t="s">
        <v>1401</v>
      </c>
      <c r="BK108" s="13" t="s">
        <v>136</v>
      </c>
      <c r="BL108" s="303" t="s">
        <v>691</v>
      </c>
      <c r="BM108" s="86" t="s">
        <v>1222</v>
      </c>
      <c r="BN108" s="303" t="s">
        <v>1231</v>
      </c>
      <c r="BO108" s="86"/>
      <c r="BP108" s="1" t="s">
        <v>247</v>
      </c>
      <c r="BR108" s="1">
        <v>78</v>
      </c>
      <c r="BS108" s="21">
        <v>12044</v>
      </c>
      <c r="BT108" s="605"/>
      <c r="BU108" s="600">
        <v>5</v>
      </c>
      <c r="BV108" s="601">
        <v>0.2</v>
      </c>
      <c r="BW108" s="329">
        <f t="shared" si="42"/>
        <v>165</v>
      </c>
      <c r="BX108" s="329">
        <f>IF($F108&gt;0,$BW108*$D$208,"")</f>
        <v>210.37499999999997</v>
      </c>
      <c r="BY108" s="329">
        <f>IF($F108&gt;1,$BX108*$D$209,"")</f>
        <v>268.2281249999999</v>
      </c>
      <c r="BZ108" s="329">
        <f>IF($F108&gt;2,$BY108*$D$210,"")</f>
        <v>341.9908593749999</v>
      </c>
      <c r="CA108" s="329">
        <f>IF($F108&gt;3,$BZ108*$D$211,"")</f>
        <v>436.03834570312483</v>
      </c>
      <c r="CB108" s="329">
        <f>IF($F108&gt;4,$CA108*$D$212,"")</f>
      </c>
      <c r="CC108" s="329">
        <f>IF($F108&gt;5,$CB108*$D$213,"")</f>
      </c>
      <c r="CD108" s="329">
        <f>IF($F108&gt;6,$CC108*$D$214,"")</f>
      </c>
      <c r="CE108" s="485" t="s">
        <v>677</v>
      </c>
      <c r="CF108" s="854" t="s">
        <v>584</v>
      </c>
      <c r="CG108" s="440" t="s">
        <v>855</v>
      </c>
      <c r="CH108" s="305">
        <v>3417700</v>
      </c>
      <c r="CI108" s="305">
        <f t="shared" si="39"/>
        <v>1025310</v>
      </c>
      <c r="CJ108" s="306">
        <f t="shared" si="40"/>
        <v>2392390</v>
      </c>
      <c r="CK108" s="307" t="e">
        <f>CJ108-#REF!</f>
        <v>#REF!</v>
      </c>
      <c r="CL108" s="591">
        <v>3417700</v>
      </c>
      <c r="CM108" s="21">
        <f t="shared" si="27"/>
        <v>1</v>
      </c>
      <c r="CN108" s="21">
        <f t="shared" si="28"/>
        <v>3.3333333333333335</v>
      </c>
      <c r="CO108" s="54"/>
      <c r="CP108" s="625">
        <f t="shared" si="29"/>
        <v>211.25</v>
      </c>
      <c r="CQ108" s="626">
        <f t="shared" si="30"/>
        <v>195</v>
      </c>
      <c r="CR108" s="624" t="str">
        <f t="shared" si="31"/>
        <v>A</v>
      </c>
      <c r="CS108" s="634">
        <f t="shared" si="32"/>
        <v>278</v>
      </c>
      <c r="CT108" s="591">
        <f t="shared" si="43"/>
        <v>1171000</v>
      </c>
      <c r="CU108" s="591">
        <f t="shared" si="33"/>
        <v>347.5</v>
      </c>
      <c r="CV108" s="591">
        <v>1500</v>
      </c>
      <c r="CW108" s="54"/>
      <c r="CX108" s="54"/>
      <c r="CY108" s="54"/>
      <c r="CZ108" s="54"/>
      <c r="DA108" s="54">
        <v>1.6875</v>
      </c>
      <c r="DB108" s="54">
        <v>6.25</v>
      </c>
      <c r="DC108" s="649">
        <f t="shared" si="34"/>
        <v>4.227309999999999</v>
      </c>
    </row>
    <row r="109" spans="1:107" ht="12.75">
      <c r="A109" s="24" t="s">
        <v>249</v>
      </c>
      <c r="B109" s="117" t="s">
        <v>486</v>
      </c>
      <c r="C109" s="315" t="s">
        <v>1042</v>
      </c>
      <c r="D109" s="384">
        <v>45</v>
      </c>
      <c r="E109" s="385" t="s">
        <v>1489</v>
      </c>
      <c r="F109" s="15">
        <v>3</v>
      </c>
      <c r="G109" s="18">
        <v>3</v>
      </c>
      <c r="H109" s="17">
        <v>4</v>
      </c>
      <c r="I109" s="16">
        <v>0</v>
      </c>
      <c r="J109" s="186">
        <v>3</v>
      </c>
      <c r="K109" s="188">
        <v>2</v>
      </c>
      <c r="L109" s="868">
        <v>155</v>
      </c>
      <c r="M109" s="885">
        <v>42</v>
      </c>
      <c r="N109" s="106">
        <v>400</v>
      </c>
      <c r="O109" s="809">
        <v>25</v>
      </c>
      <c r="P109" s="531">
        <v>25</v>
      </c>
      <c r="Q109" s="340">
        <v>1019</v>
      </c>
      <c r="R109" s="98">
        <v>165</v>
      </c>
      <c r="S109" s="326">
        <f t="shared" si="41"/>
        <v>341.9908593749999</v>
      </c>
      <c r="T109" s="352">
        <v>1216</v>
      </c>
      <c r="U109" s="359">
        <v>29500</v>
      </c>
      <c r="V109" s="360">
        <v>2500</v>
      </c>
      <c r="W109" s="289">
        <v>3.56</v>
      </c>
      <c r="X109" s="340">
        <v>809</v>
      </c>
      <c r="Y109" s="46">
        <v>50</v>
      </c>
      <c r="Z109" s="48">
        <v>10</v>
      </c>
      <c r="AA109" s="48">
        <v>83.75</v>
      </c>
      <c r="AB109" s="50">
        <v>67.5</v>
      </c>
      <c r="AC109" s="345">
        <v>457</v>
      </c>
      <c r="AD109" s="312">
        <v>625</v>
      </c>
      <c r="AE109" s="292">
        <f t="shared" si="46"/>
        <v>0.7312</v>
      </c>
      <c r="AF109" s="46">
        <v>0</v>
      </c>
      <c r="AG109" s="48">
        <v>50</v>
      </c>
      <c r="AH109" s="48">
        <v>85</v>
      </c>
      <c r="AI109" s="47">
        <v>60</v>
      </c>
      <c r="AJ109" s="5">
        <f t="shared" si="45"/>
        <v>2285</v>
      </c>
      <c r="AK109" s="103" t="str">
        <f t="shared" si="44"/>
        <v>A</v>
      </c>
      <c r="AL109" s="862">
        <v>312</v>
      </c>
      <c r="AM109" s="458">
        <v>187.5</v>
      </c>
      <c r="AN109" s="295">
        <f t="shared" si="37"/>
        <v>1.664</v>
      </c>
      <c r="AO109" s="145">
        <v>47</v>
      </c>
      <c r="AP109" s="85" t="s">
        <v>465</v>
      </c>
      <c r="AQ109" s="297">
        <v>550</v>
      </c>
      <c r="AR109" s="33">
        <v>0</v>
      </c>
      <c r="AS109" s="34">
        <v>0</v>
      </c>
      <c r="AT109" s="34">
        <v>12</v>
      </c>
      <c r="AU109" s="73">
        <v>0</v>
      </c>
      <c r="AV109" s="39">
        <v>39</v>
      </c>
      <c r="AW109" s="143">
        <v>287</v>
      </c>
      <c r="AX109" s="33">
        <v>0</v>
      </c>
      <c r="AY109" s="34">
        <v>0</v>
      </c>
      <c r="AZ109" s="34">
        <v>7</v>
      </c>
      <c r="BA109" s="84">
        <v>0</v>
      </c>
      <c r="BB109" s="586">
        <v>6</v>
      </c>
      <c r="BC109" s="590">
        <v>1.34771E-06</v>
      </c>
      <c r="BD109" s="588">
        <f t="shared" si="26"/>
        <v>118.98838927162605</v>
      </c>
      <c r="BE109" s="299"/>
      <c r="BF109" s="300"/>
      <c r="BG109" s="112"/>
      <c r="BH109" s="541"/>
      <c r="BI109" s="301">
        <v>1</v>
      </c>
      <c r="BJ109" s="346" t="s">
        <v>1401</v>
      </c>
      <c r="BK109" s="13" t="s">
        <v>1149</v>
      </c>
      <c r="BL109" s="303" t="s">
        <v>662</v>
      </c>
      <c r="BM109" s="86" t="s">
        <v>1215</v>
      </c>
      <c r="BN109" s="303" t="s">
        <v>1082</v>
      </c>
      <c r="BO109" s="86"/>
      <c r="BP109" s="1" t="s">
        <v>1216</v>
      </c>
      <c r="BR109" s="1">
        <v>78</v>
      </c>
      <c r="BS109" s="21">
        <v>12042</v>
      </c>
      <c r="BT109" s="605"/>
      <c r="BU109" s="600">
        <v>3.75</v>
      </c>
      <c r="BV109" s="601">
        <v>1</v>
      </c>
      <c r="BW109" s="329">
        <f t="shared" si="42"/>
        <v>165</v>
      </c>
      <c r="BX109" s="329">
        <f>IF($F109&gt;0,$BW109*$D$208,"")</f>
        <v>210.37499999999997</v>
      </c>
      <c r="BY109" s="329">
        <f>IF($F109&gt;1,$BX109*$D$209,"")</f>
        <v>268.2281249999999</v>
      </c>
      <c r="BZ109" s="329">
        <f>IF($F109&gt;2,$BY109*$D$210,"")</f>
        <v>341.9908593749999</v>
      </c>
      <c r="CA109" s="329">
        <f>IF($F109&gt;3,$BZ109*$D$211,"")</f>
      </c>
      <c r="CB109" s="329">
        <f>IF($F109&gt;4,$CA109*$D$212,"")</f>
      </c>
      <c r="CC109" s="329">
        <f>IF($F109&gt;5,$CB109*$D$213,"")</f>
      </c>
      <c r="CD109" s="329">
        <f>IF($F109&gt;6,$CC109*$D$214,"")</f>
      </c>
      <c r="CE109" s="485" t="s">
        <v>604</v>
      </c>
      <c r="CF109" s="854" t="s">
        <v>584</v>
      </c>
      <c r="CG109" s="440" t="s">
        <v>856</v>
      </c>
      <c r="CH109" s="305">
        <v>3208068</v>
      </c>
      <c r="CI109" s="305">
        <f t="shared" si="39"/>
        <v>962420.3999999999</v>
      </c>
      <c r="CJ109" s="306">
        <f t="shared" si="40"/>
        <v>2245647.6</v>
      </c>
      <c r="CK109" s="307" t="e">
        <f>CJ109-#REF!</f>
        <v>#REF!</v>
      </c>
      <c r="CL109" s="591">
        <v>3208068</v>
      </c>
      <c r="CM109" s="21">
        <f t="shared" si="27"/>
        <v>1</v>
      </c>
      <c r="CN109" s="21">
        <f t="shared" si="28"/>
        <v>3.3333333333333335</v>
      </c>
      <c r="CO109" s="54"/>
      <c r="CP109" s="625">
        <f t="shared" si="29"/>
        <v>211.25</v>
      </c>
      <c r="CQ109" s="626">
        <f t="shared" si="30"/>
        <v>195</v>
      </c>
      <c r="CR109" s="624" t="str">
        <f t="shared" si="31"/>
        <v>A</v>
      </c>
      <c r="CS109" s="634">
        <f t="shared" si="32"/>
        <v>287</v>
      </c>
      <c r="CT109" s="591">
        <f t="shared" si="43"/>
        <v>1216000</v>
      </c>
      <c r="CU109" s="591">
        <f t="shared" si="33"/>
        <v>358.75</v>
      </c>
      <c r="CV109" s="591">
        <v>1500</v>
      </c>
      <c r="CW109" s="54"/>
      <c r="CX109" s="54"/>
      <c r="CY109" s="54"/>
      <c r="CZ109" s="54"/>
      <c r="DA109" s="54">
        <v>1.6875</v>
      </c>
      <c r="DB109" s="54">
        <v>6.25</v>
      </c>
      <c r="DC109" s="649">
        <f t="shared" si="34"/>
        <v>4.32896</v>
      </c>
    </row>
    <row r="110" spans="1:107" ht="12.75">
      <c r="A110" s="24" t="s">
        <v>469</v>
      </c>
      <c r="B110" s="117" t="s">
        <v>1625</v>
      </c>
      <c r="C110" s="319" t="s">
        <v>99</v>
      </c>
      <c r="D110" s="384">
        <v>45</v>
      </c>
      <c r="E110" s="385" t="s">
        <v>1489</v>
      </c>
      <c r="F110" s="15">
        <v>3</v>
      </c>
      <c r="G110" s="18">
        <v>4</v>
      </c>
      <c r="H110" s="17">
        <v>4</v>
      </c>
      <c r="I110" s="16">
        <v>1</v>
      </c>
      <c r="J110" s="186">
        <v>3</v>
      </c>
      <c r="K110" s="188">
        <v>2</v>
      </c>
      <c r="L110" s="868">
        <v>160</v>
      </c>
      <c r="M110" s="885">
        <v>43</v>
      </c>
      <c r="N110" s="106">
        <v>400</v>
      </c>
      <c r="O110" s="454">
        <v>0</v>
      </c>
      <c r="P110" s="531">
        <v>0</v>
      </c>
      <c r="Q110" s="340">
        <v>605</v>
      </c>
      <c r="R110" s="98">
        <v>130</v>
      </c>
      <c r="S110" s="326">
        <f t="shared" si="41"/>
        <v>269.44734374999996</v>
      </c>
      <c r="T110" s="342">
        <v>1366</v>
      </c>
      <c r="U110" s="343">
        <v>27289</v>
      </c>
      <c r="V110" s="344">
        <v>2500</v>
      </c>
      <c r="W110" s="289">
        <v>2.78</v>
      </c>
      <c r="X110" s="340">
        <v>457</v>
      </c>
      <c r="Y110" s="46">
        <v>90</v>
      </c>
      <c r="Z110" s="48">
        <v>10</v>
      </c>
      <c r="AA110" s="48">
        <v>25</v>
      </c>
      <c r="AB110" s="50">
        <v>67.5</v>
      </c>
      <c r="AC110" s="345">
        <v>633</v>
      </c>
      <c r="AD110" s="312">
        <v>625</v>
      </c>
      <c r="AE110" s="292">
        <f t="shared" si="46"/>
        <v>1.0128</v>
      </c>
      <c r="AF110" s="46">
        <v>75</v>
      </c>
      <c r="AG110" s="48">
        <v>50</v>
      </c>
      <c r="AH110" s="48">
        <v>40</v>
      </c>
      <c r="AI110" s="47">
        <v>60</v>
      </c>
      <c r="AJ110" s="5">
        <f t="shared" si="45"/>
        <v>1695</v>
      </c>
      <c r="AK110" s="103" t="str">
        <f t="shared" si="44"/>
        <v>S</v>
      </c>
      <c r="AL110" s="862">
        <v>250</v>
      </c>
      <c r="AM110" s="458">
        <v>187.5</v>
      </c>
      <c r="AN110" s="295">
        <f t="shared" si="37"/>
        <v>1.3333333333333333</v>
      </c>
      <c r="AO110" s="145">
        <v>37</v>
      </c>
      <c r="AP110" s="85" t="s">
        <v>465</v>
      </c>
      <c r="AQ110" s="297">
        <v>750</v>
      </c>
      <c r="AR110" s="33">
        <v>0</v>
      </c>
      <c r="AS110" s="34">
        <v>0</v>
      </c>
      <c r="AT110" s="34">
        <v>0</v>
      </c>
      <c r="AU110" s="73">
        <v>11</v>
      </c>
      <c r="AV110" s="39">
        <v>34</v>
      </c>
      <c r="AW110" s="143">
        <v>357</v>
      </c>
      <c r="AX110" s="33">
        <v>0</v>
      </c>
      <c r="AY110" s="34">
        <v>0</v>
      </c>
      <c r="AZ110" s="34">
        <v>0</v>
      </c>
      <c r="BA110" s="84">
        <v>8</v>
      </c>
      <c r="BB110" s="586">
        <v>6</v>
      </c>
      <c r="BC110" s="590">
        <v>1.34771E-06</v>
      </c>
      <c r="BD110" s="588">
        <f t="shared" si="26"/>
        <v>84.87364929086965</v>
      </c>
      <c r="BE110" s="299"/>
      <c r="BF110" s="300"/>
      <c r="BG110" s="112"/>
      <c r="BH110" s="541"/>
      <c r="BI110" s="301">
        <v>2</v>
      </c>
      <c r="BJ110" s="346" t="s">
        <v>1401</v>
      </c>
      <c r="BK110" s="13" t="s">
        <v>136</v>
      </c>
      <c r="BL110" s="303" t="s">
        <v>1237</v>
      </c>
      <c r="BM110" s="86" t="s">
        <v>1069</v>
      </c>
      <c r="BN110" s="303" t="s">
        <v>1230</v>
      </c>
      <c r="BO110" s="86"/>
      <c r="BP110" s="1" t="s">
        <v>469</v>
      </c>
      <c r="BR110" s="1">
        <v>78</v>
      </c>
      <c r="BS110" s="21">
        <v>11400</v>
      </c>
      <c r="BT110" s="605"/>
      <c r="BU110" s="600">
        <v>4.5</v>
      </c>
      <c r="BV110" s="601">
        <v>0</v>
      </c>
      <c r="BW110" s="329">
        <f t="shared" si="42"/>
        <v>130</v>
      </c>
      <c r="BX110" s="329">
        <f>IF($F110&gt;0,$BW110*$D$208,"")</f>
        <v>165.75</v>
      </c>
      <c r="BY110" s="329">
        <f>IF($F110&gt;1,$BX110*$D$209,"")</f>
        <v>211.33124999999998</v>
      </c>
      <c r="BZ110" s="329">
        <f>IF($F110&gt;2,$BY110*$D$210,"")</f>
        <v>269.44734374999996</v>
      </c>
      <c r="CA110" s="329">
        <f>IF($F110&gt;3,$BZ110*$D$211,"")</f>
      </c>
      <c r="CB110" s="329">
        <f>IF($F110&gt;4,$CA110*$D$212,"")</f>
      </c>
      <c r="CC110" s="329">
        <f>IF($F110&gt;5,$CB110*$D$213,"")</f>
      </c>
      <c r="CD110" s="329">
        <f>IF($F110&gt;6,$CC110*$D$214,"")</f>
      </c>
      <c r="CE110" s="485" t="s">
        <v>261</v>
      </c>
      <c r="CF110" s="854" t="s">
        <v>584</v>
      </c>
      <c r="CG110" s="440" t="s">
        <v>857</v>
      </c>
      <c r="CH110" s="305">
        <v>3425444</v>
      </c>
      <c r="CI110" s="305">
        <f t="shared" si="39"/>
        <v>1027633.2</v>
      </c>
      <c r="CJ110" s="306">
        <f t="shared" si="40"/>
        <v>2397810.8</v>
      </c>
      <c r="CK110" s="307" t="e">
        <f>CJ110-#REF!</f>
        <v>#REF!</v>
      </c>
      <c r="CL110" s="591">
        <v>3435444</v>
      </c>
      <c r="CM110" s="21">
        <f t="shared" si="27"/>
        <v>1.0029193295818002</v>
      </c>
      <c r="CN110" s="21">
        <f t="shared" si="28"/>
        <v>3.343064431939334</v>
      </c>
      <c r="CO110" s="54"/>
      <c r="CP110" s="626">
        <f t="shared" si="29"/>
        <v>192.5</v>
      </c>
      <c r="CQ110" s="627">
        <f t="shared" si="30"/>
        <v>225</v>
      </c>
      <c r="CR110" s="624" t="str">
        <f t="shared" si="31"/>
        <v>S</v>
      </c>
      <c r="CS110" s="634">
        <f t="shared" si="32"/>
        <v>357</v>
      </c>
      <c r="CT110" s="591">
        <f t="shared" si="43"/>
        <v>1366000</v>
      </c>
      <c r="CU110" s="591">
        <f t="shared" si="33"/>
        <v>446.25</v>
      </c>
      <c r="CV110" s="591">
        <v>1500</v>
      </c>
      <c r="CW110" s="54"/>
      <c r="CX110" s="54"/>
      <c r="CY110" s="54"/>
      <c r="CZ110" s="54"/>
      <c r="DA110" s="54">
        <v>1.6875</v>
      </c>
      <c r="DB110" s="54">
        <v>6.25</v>
      </c>
      <c r="DC110" s="649">
        <f t="shared" si="34"/>
        <v>3.7974799999999997</v>
      </c>
    </row>
    <row r="111" spans="1:107" ht="12.75">
      <c r="A111" s="24" t="s">
        <v>468</v>
      </c>
      <c r="B111" s="117" t="s">
        <v>1625</v>
      </c>
      <c r="C111" s="319" t="s">
        <v>99</v>
      </c>
      <c r="D111" s="384">
        <v>45</v>
      </c>
      <c r="E111" s="385" t="s">
        <v>1489</v>
      </c>
      <c r="F111" s="15">
        <v>4</v>
      </c>
      <c r="G111" s="18">
        <v>2</v>
      </c>
      <c r="H111" s="17">
        <v>5</v>
      </c>
      <c r="I111" s="16">
        <v>1</v>
      </c>
      <c r="J111" s="738">
        <v>4</v>
      </c>
      <c r="K111" s="188">
        <v>2</v>
      </c>
      <c r="L111" s="868">
        <v>125</v>
      </c>
      <c r="M111" s="885">
        <v>48</v>
      </c>
      <c r="N111" s="106">
        <v>400</v>
      </c>
      <c r="O111" s="454">
        <v>0</v>
      </c>
      <c r="P111" s="531">
        <v>0</v>
      </c>
      <c r="Q111" s="340">
        <v>774</v>
      </c>
      <c r="R111" s="98">
        <v>165</v>
      </c>
      <c r="S111" s="326">
        <f t="shared" si="41"/>
        <v>436.03834570312483</v>
      </c>
      <c r="T111" s="342">
        <v>1309</v>
      </c>
      <c r="U111" s="343">
        <v>27289</v>
      </c>
      <c r="V111" s="344">
        <v>2500</v>
      </c>
      <c r="W111" s="289">
        <v>3.02</v>
      </c>
      <c r="X111" s="340">
        <v>703</v>
      </c>
      <c r="Y111" s="46">
        <v>90</v>
      </c>
      <c r="Z111" s="48">
        <v>10</v>
      </c>
      <c r="AA111" s="48">
        <v>25</v>
      </c>
      <c r="AB111" s="50">
        <v>67.5</v>
      </c>
      <c r="AC111" s="345">
        <v>422</v>
      </c>
      <c r="AD111" s="312">
        <v>625</v>
      </c>
      <c r="AE111" s="292">
        <f t="shared" si="46"/>
        <v>0.6752</v>
      </c>
      <c r="AF111" s="46">
        <v>75</v>
      </c>
      <c r="AG111" s="48">
        <v>50</v>
      </c>
      <c r="AH111" s="48">
        <v>40</v>
      </c>
      <c r="AI111" s="47">
        <v>60</v>
      </c>
      <c r="AJ111" s="5">
        <f t="shared" si="45"/>
        <v>1899</v>
      </c>
      <c r="AK111" s="103" t="str">
        <f t="shared" si="44"/>
        <v>A</v>
      </c>
      <c r="AL111" s="862">
        <v>275</v>
      </c>
      <c r="AM111" s="458">
        <v>187.5</v>
      </c>
      <c r="AN111" s="295">
        <f t="shared" si="37"/>
        <v>1.4666666666666666</v>
      </c>
      <c r="AO111" s="145">
        <v>40</v>
      </c>
      <c r="AP111" s="85" t="s">
        <v>465</v>
      </c>
      <c r="AQ111" s="297">
        <v>700</v>
      </c>
      <c r="AR111" s="33">
        <v>0</v>
      </c>
      <c r="AS111" s="34">
        <v>0</v>
      </c>
      <c r="AT111" s="34">
        <v>0</v>
      </c>
      <c r="AU111" s="73">
        <v>10</v>
      </c>
      <c r="AV111" s="39">
        <v>33</v>
      </c>
      <c r="AW111" s="143">
        <v>329</v>
      </c>
      <c r="AX111" s="33">
        <v>0</v>
      </c>
      <c r="AY111" s="34">
        <v>0</v>
      </c>
      <c r="AZ111" s="34">
        <v>0</v>
      </c>
      <c r="BA111" s="84">
        <v>8</v>
      </c>
      <c r="BB111" s="586">
        <v>6</v>
      </c>
      <c r="BC111" s="590">
        <v>1.34771E-06</v>
      </c>
      <c r="BD111" s="588">
        <f t="shared" si="26"/>
        <v>97.42639069859491</v>
      </c>
      <c r="BE111" s="299"/>
      <c r="BF111" s="300"/>
      <c r="BG111" s="112"/>
      <c r="BH111" s="541"/>
      <c r="BI111" s="301">
        <v>1</v>
      </c>
      <c r="BJ111" s="346" t="s">
        <v>1401</v>
      </c>
      <c r="BK111" s="13" t="s">
        <v>136</v>
      </c>
      <c r="BL111" s="303" t="s">
        <v>1238</v>
      </c>
      <c r="BM111" s="86" t="s">
        <v>1600</v>
      </c>
      <c r="BN111" s="303" t="s">
        <v>1228</v>
      </c>
      <c r="BO111" s="86"/>
      <c r="BP111" s="1" t="s">
        <v>1601</v>
      </c>
      <c r="BR111" s="1">
        <v>78</v>
      </c>
      <c r="BS111" s="21">
        <v>11371</v>
      </c>
      <c r="BT111" s="605"/>
      <c r="BU111" s="600">
        <v>5</v>
      </c>
      <c r="BV111" s="601">
        <v>0</v>
      </c>
      <c r="BW111" s="329">
        <f t="shared" si="42"/>
        <v>165</v>
      </c>
      <c r="BX111" s="329">
        <f>IF($F111&gt;0,$BW111*$D$208,"")</f>
        <v>210.37499999999997</v>
      </c>
      <c r="BY111" s="329">
        <f>IF($F111&gt;1,$BX111*$D$209,"")</f>
        <v>268.2281249999999</v>
      </c>
      <c r="BZ111" s="329">
        <f>IF($F111&gt;2,$BY111*$D$210,"")</f>
        <v>341.9908593749999</v>
      </c>
      <c r="CA111" s="329">
        <f>IF($F111&gt;3,$BZ111*$D$211,"")</f>
        <v>436.03834570312483</v>
      </c>
      <c r="CB111" s="329">
        <f>IF($F111&gt;4,$CA111*$D$212,"")</f>
      </c>
      <c r="CC111" s="329">
        <f>IF($F111&gt;5,$CB111*$D$213,"")</f>
      </c>
      <c r="CD111" s="329">
        <f>IF($F111&gt;6,$CC111*$D$214,"")</f>
      </c>
      <c r="CE111" s="485" t="s">
        <v>979</v>
      </c>
      <c r="CF111" s="854" t="s">
        <v>584</v>
      </c>
      <c r="CG111" s="440" t="s">
        <v>858</v>
      </c>
      <c r="CH111" s="305">
        <v>3295668</v>
      </c>
      <c r="CI111" s="305">
        <f t="shared" si="39"/>
        <v>988700.3999999999</v>
      </c>
      <c r="CJ111" s="306">
        <f t="shared" si="40"/>
        <v>2306967.6</v>
      </c>
      <c r="CK111" s="307" t="e">
        <f>CJ111-#REF!</f>
        <v>#REF!</v>
      </c>
      <c r="CL111" s="591">
        <v>3295668</v>
      </c>
      <c r="CM111" s="21">
        <f t="shared" si="27"/>
        <v>1</v>
      </c>
      <c r="CN111" s="21">
        <f t="shared" si="28"/>
        <v>3.3333333333333335</v>
      </c>
      <c r="CO111" s="54"/>
      <c r="CP111" s="628">
        <f t="shared" si="29"/>
        <v>192.5</v>
      </c>
      <c r="CQ111" s="622">
        <f t="shared" si="30"/>
        <v>225</v>
      </c>
      <c r="CR111" s="624" t="str">
        <f t="shared" si="31"/>
        <v>A</v>
      </c>
      <c r="CS111" s="634">
        <f t="shared" si="32"/>
        <v>329</v>
      </c>
      <c r="CT111" s="591">
        <f t="shared" si="43"/>
        <v>1309000</v>
      </c>
      <c r="CU111" s="591">
        <f t="shared" si="33"/>
        <v>411.25</v>
      </c>
      <c r="CV111" s="591">
        <v>1500</v>
      </c>
      <c r="CW111" s="54"/>
      <c r="CX111" s="54"/>
      <c r="CY111" s="54"/>
      <c r="CZ111" s="54"/>
      <c r="DA111" s="54">
        <v>1.6875</v>
      </c>
      <c r="DB111" s="54">
        <v>6.25</v>
      </c>
      <c r="DC111" s="649">
        <f t="shared" si="34"/>
        <v>3.9531799999999997</v>
      </c>
    </row>
    <row r="112" spans="1:107" ht="12.75">
      <c r="A112" s="24" t="s">
        <v>325</v>
      </c>
      <c r="B112" s="117" t="s">
        <v>1603</v>
      </c>
      <c r="C112" s="308" t="s">
        <v>827</v>
      </c>
      <c r="D112" s="384">
        <v>44</v>
      </c>
      <c r="E112" s="385" t="s">
        <v>1604</v>
      </c>
      <c r="F112" s="15">
        <v>3</v>
      </c>
      <c r="G112" s="18">
        <v>3</v>
      </c>
      <c r="H112" s="17">
        <v>5</v>
      </c>
      <c r="I112" s="754">
        <v>3</v>
      </c>
      <c r="J112" s="324">
        <v>2</v>
      </c>
      <c r="K112" s="188">
        <v>2</v>
      </c>
      <c r="L112" s="870">
        <v>230</v>
      </c>
      <c r="M112" s="885">
        <v>45</v>
      </c>
      <c r="N112" s="106">
        <v>400</v>
      </c>
      <c r="O112" s="454">
        <v>0</v>
      </c>
      <c r="P112" s="531">
        <v>0</v>
      </c>
      <c r="Q112" s="340">
        <v>387</v>
      </c>
      <c r="R112" s="341">
        <v>260</v>
      </c>
      <c r="S112" s="358">
        <f aca="true" t="shared" si="47" ref="S112:S153">MAX($BW112:$CD112)</f>
        <v>538.8946874999999</v>
      </c>
      <c r="T112" s="342">
        <v>1396</v>
      </c>
      <c r="U112" s="343">
        <v>28100</v>
      </c>
      <c r="V112" s="344">
        <v>2500</v>
      </c>
      <c r="W112" s="289">
        <v>4.35</v>
      </c>
      <c r="X112" s="340">
        <v>387</v>
      </c>
      <c r="Y112" s="43">
        <v>50</v>
      </c>
      <c r="Z112" s="44">
        <v>40</v>
      </c>
      <c r="AA112" s="44">
        <v>34.375</v>
      </c>
      <c r="AB112" s="49">
        <v>35</v>
      </c>
      <c r="AC112" s="345">
        <v>212</v>
      </c>
      <c r="AD112" s="312">
        <v>625</v>
      </c>
      <c r="AE112" s="292">
        <f t="shared" si="46"/>
        <v>0.3392</v>
      </c>
      <c r="AF112" s="43">
        <v>0</v>
      </c>
      <c r="AG112" s="44">
        <v>62.5</v>
      </c>
      <c r="AH112" s="44">
        <v>47.5</v>
      </c>
      <c r="AI112" s="45">
        <v>20</v>
      </c>
      <c r="AJ112" s="5">
        <f t="shared" si="45"/>
        <v>986</v>
      </c>
      <c r="AK112" s="103" t="str">
        <f t="shared" si="44"/>
        <v>A</v>
      </c>
      <c r="AL112" s="862">
        <v>312</v>
      </c>
      <c r="AM112" s="458">
        <v>250</v>
      </c>
      <c r="AN112" s="295">
        <f t="shared" si="37"/>
        <v>1.248</v>
      </c>
      <c r="AO112" s="145">
        <v>60</v>
      </c>
      <c r="AP112" s="85" t="s">
        <v>465</v>
      </c>
      <c r="AQ112" s="297">
        <v>450</v>
      </c>
      <c r="AR112" s="33" t="s">
        <v>326</v>
      </c>
      <c r="AS112" s="34">
        <v>0</v>
      </c>
      <c r="AT112" s="34">
        <v>0</v>
      </c>
      <c r="AU112" s="73">
        <v>0</v>
      </c>
      <c r="AV112" s="39">
        <v>45</v>
      </c>
      <c r="AW112" s="924">
        <v>228</v>
      </c>
      <c r="AX112" s="33">
        <v>6</v>
      </c>
      <c r="AY112" s="34">
        <v>0</v>
      </c>
      <c r="AZ112" s="34">
        <v>0</v>
      </c>
      <c r="BA112" s="84">
        <v>0</v>
      </c>
      <c r="BB112" s="586">
        <v>6</v>
      </c>
      <c r="BC112" s="590">
        <v>1.67E-06</v>
      </c>
      <c r="BD112" s="588">
        <f t="shared" si="26"/>
        <v>83.64360105004889</v>
      </c>
      <c r="BE112" s="299"/>
      <c r="BF112" s="300"/>
      <c r="BG112" s="112"/>
      <c r="BH112" s="541"/>
      <c r="BI112" s="301"/>
      <c r="BJ112" s="346" t="s">
        <v>1401</v>
      </c>
      <c r="BK112" s="13" t="s">
        <v>1672</v>
      </c>
      <c r="BL112" s="303" t="s">
        <v>21</v>
      </c>
      <c r="BM112" s="86" t="s">
        <v>25</v>
      </c>
      <c r="BN112" s="303" t="s">
        <v>1175</v>
      </c>
      <c r="BO112" s="86"/>
      <c r="BP112" s="1" t="s">
        <v>914</v>
      </c>
      <c r="BR112" s="1">
        <v>41</v>
      </c>
      <c r="BS112" s="21">
        <v>12038</v>
      </c>
      <c r="BT112" s="605"/>
      <c r="BU112" s="600">
        <v>3.75</v>
      </c>
      <c r="BV112" s="601">
        <v>0</v>
      </c>
      <c r="BW112" s="386">
        <f t="shared" si="42"/>
        <v>260</v>
      </c>
      <c r="BX112" s="329">
        <f>IF($F112&gt;0,$BW112*$D$208,"")</f>
        <v>331.5</v>
      </c>
      <c r="BY112" s="329">
        <f>IF($F112&gt;1,$BX112*$D$209,"")</f>
        <v>422.66249999999997</v>
      </c>
      <c r="BZ112" s="329">
        <f>IF($F112&gt;2,$BY112*$D$210,"")</f>
        <v>538.8946874999999</v>
      </c>
      <c r="CA112" s="329">
        <f>IF($F112&gt;3,$BZ112*$D$211,"")</f>
      </c>
      <c r="CB112" s="329">
        <f>IF($F112&gt;4,$CA112*$D$212,"")</f>
      </c>
      <c r="CC112" s="329">
        <f>IF($F112&gt;5,$CB112*$D$213,"")</f>
      </c>
      <c r="CD112" s="329">
        <f>IF($F112&gt;6,$CC112*$D$214,"")</f>
      </c>
      <c r="CE112" s="485" t="s">
        <v>31</v>
      </c>
      <c r="CF112" s="850" t="s">
        <v>513</v>
      </c>
      <c r="CG112" s="440" t="s">
        <v>859</v>
      </c>
      <c r="CH112" s="305">
        <v>3072448</v>
      </c>
      <c r="CI112" s="305">
        <f t="shared" si="39"/>
        <v>921734.4</v>
      </c>
      <c r="CJ112" s="306">
        <f t="shared" si="40"/>
        <v>2150713.6</v>
      </c>
      <c r="CK112" s="307" t="e">
        <f>CJ112-#REF!</f>
        <v>#REF!</v>
      </c>
      <c r="CL112" s="592">
        <v>3072448</v>
      </c>
      <c r="CM112" s="21">
        <f t="shared" si="27"/>
        <v>1</v>
      </c>
      <c r="CN112" s="21">
        <f t="shared" si="28"/>
        <v>3.333333333333333</v>
      </c>
      <c r="CO112" s="54"/>
      <c r="CP112" s="625">
        <f t="shared" si="29"/>
        <v>159.375</v>
      </c>
      <c r="CQ112" s="626">
        <f t="shared" si="30"/>
        <v>130</v>
      </c>
      <c r="CR112" s="624" t="str">
        <f t="shared" si="31"/>
        <v>A</v>
      </c>
      <c r="CS112" s="634">
        <f t="shared" si="32"/>
        <v>228</v>
      </c>
      <c r="CT112" s="591">
        <f t="shared" si="43"/>
        <v>1396000</v>
      </c>
      <c r="CU112" s="591">
        <f t="shared" si="33"/>
        <v>285</v>
      </c>
      <c r="CV112" s="591">
        <v>1500</v>
      </c>
      <c r="CW112" s="54"/>
      <c r="CX112" s="54"/>
      <c r="CY112" s="54"/>
      <c r="CZ112" s="54"/>
      <c r="DA112" s="54">
        <v>1.6875</v>
      </c>
      <c r="DB112" s="54">
        <v>6.25</v>
      </c>
      <c r="DC112" s="649">
        <f t="shared" si="34"/>
        <v>6.0725999999999996</v>
      </c>
    </row>
    <row r="113" spans="1:107" ht="12.75">
      <c r="A113" s="24" t="s">
        <v>439</v>
      </c>
      <c r="B113" s="117" t="s">
        <v>916</v>
      </c>
      <c r="C113" s="636" t="s">
        <v>865</v>
      </c>
      <c r="D113" s="384">
        <v>44</v>
      </c>
      <c r="E113" s="385" t="s">
        <v>1604</v>
      </c>
      <c r="F113" s="15">
        <v>2</v>
      </c>
      <c r="G113" s="18">
        <v>4</v>
      </c>
      <c r="H113" s="17">
        <v>5</v>
      </c>
      <c r="I113" s="19">
        <v>3</v>
      </c>
      <c r="J113" s="324">
        <v>2</v>
      </c>
      <c r="K113" s="188">
        <v>2</v>
      </c>
      <c r="L113" s="871">
        <v>260</v>
      </c>
      <c r="M113" s="885">
        <v>36</v>
      </c>
      <c r="N113" s="106">
        <v>400</v>
      </c>
      <c r="O113" s="454">
        <v>0</v>
      </c>
      <c r="P113" s="531">
        <v>0</v>
      </c>
      <c r="Q113" s="340">
        <v>338</v>
      </c>
      <c r="R113" s="341">
        <v>185</v>
      </c>
      <c r="S113" s="358">
        <f t="shared" si="47"/>
        <v>300.74062499999997</v>
      </c>
      <c r="T113" s="342">
        <v>1466</v>
      </c>
      <c r="U113" s="343">
        <v>28100</v>
      </c>
      <c r="V113" s="344">
        <v>2500</v>
      </c>
      <c r="W113" s="289">
        <v>3.87</v>
      </c>
      <c r="X113" s="340">
        <v>288</v>
      </c>
      <c r="Y113" s="43">
        <v>50</v>
      </c>
      <c r="Z113" s="44">
        <v>10</v>
      </c>
      <c r="AA113" s="44">
        <v>34.375</v>
      </c>
      <c r="AB113" s="49">
        <v>58.75</v>
      </c>
      <c r="AC113" s="345">
        <v>316</v>
      </c>
      <c r="AD113" s="312">
        <v>625</v>
      </c>
      <c r="AE113" s="292">
        <f t="shared" si="46"/>
        <v>0.5056</v>
      </c>
      <c r="AF113" s="43">
        <v>0</v>
      </c>
      <c r="AG113" s="44">
        <v>50</v>
      </c>
      <c r="AH113" s="44">
        <v>47.5</v>
      </c>
      <c r="AI113" s="45">
        <v>40</v>
      </c>
      <c r="AJ113" s="5">
        <f t="shared" si="45"/>
        <v>942</v>
      </c>
      <c r="AK113" s="103" t="str">
        <f t="shared" si="44"/>
        <v>~</v>
      </c>
      <c r="AL113" s="862">
        <v>268</v>
      </c>
      <c r="AM113" s="458">
        <v>215</v>
      </c>
      <c r="AN113" s="295">
        <f t="shared" si="37"/>
        <v>1.2465116279069768</v>
      </c>
      <c r="AO113" s="145">
        <v>70</v>
      </c>
      <c r="AP113" s="85" t="s">
        <v>465</v>
      </c>
      <c r="AQ113" s="297">
        <v>375</v>
      </c>
      <c r="AR113" s="33">
        <v>0</v>
      </c>
      <c r="AS113" s="34" t="s">
        <v>440</v>
      </c>
      <c r="AT113" s="34">
        <v>0</v>
      </c>
      <c r="AU113" s="73">
        <v>0</v>
      </c>
      <c r="AV113" s="39">
        <v>51</v>
      </c>
      <c r="AW113" s="368">
        <v>208</v>
      </c>
      <c r="AX113" s="33">
        <v>0</v>
      </c>
      <c r="AY113" s="34">
        <v>5</v>
      </c>
      <c r="AZ113" s="34">
        <v>0</v>
      </c>
      <c r="BA113" s="84">
        <v>0</v>
      </c>
      <c r="BB113" s="586">
        <v>6</v>
      </c>
      <c r="BC113" s="590">
        <v>2.68E-06</v>
      </c>
      <c r="BD113" s="588">
        <f t="shared" si="26"/>
        <v>42.63301500682128</v>
      </c>
      <c r="BE113" s="299"/>
      <c r="BF113" s="300"/>
      <c r="BG113" s="112"/>
      <c r="BH113" s="541"/>
      <c r="BI113" s="301"/>
      <c r="BJ113" s="346" t="s">
        <v>1401</v>
      </c>
      <c r="BK113" s="13" t="s">
        <v>1672</v>
      </c>
      <c r="BL113" s="303" t="s">
        <v>22</v>
      </c>
      <c r="BM113" s="86" t="s">
        <v>26</v>
      </c>
      <c r="BN113" s="303" t="s">
        <v>1229</v>
      </c>
      <c r="BO113" s="86"/>
      <c r="BP113" s="1" t="s">
        <v>218</v>
      </c>
      <c r="BR113" s="1">
        <v>78</v>
      </c>
      <c r="BS113" s="21">
        <v>12032</v>
      </c>
      <c r="BT113" s="605"/>
      <c r="BU113" s="600">
        <v>3.75</v>
      </c>
      <c r="BV113" s="601">
        <v>0</v>
      </c>
      <c r="BW113" s="386">
        <f t="shared" si="42"/>
        <v>185</v>
      </c>
      <c r="BX113" s="329">
        <f>IF($F113&gt;0,$BW113*$D$208,"")</f>
        <v>235.87499999999997</v>
      </c>
      <c r="BY113" s="329">
        <f>IF($F113&gt;1,$BX113*$D$209,"")</f>
        <v>300.74062499999997</v>
      </c>
      <c r="BZ113" s="329">
        <f>IF($F113&gt;2,$BY113*$D$210,"")</f>
      </c>
      <c r="CA113" s="329">
        <f>IF($F113&gt;3,$BZ113*$D$211,"")</f>
      </c>
      <c r="CB113" s="329">
        <f>IF($F113&gt;4,$CA113*$D$212,"")</f>
      </c>
      <c r="CC113" s="329">
        <f>IF($F113&gt;5,$CB113*$D$213,"")</f>
      </c>
      <c r="CD113" s="329">
        <f>IF($F113&gt;6,$CC113*$D$214,"")</f>
      </c>
      <c r="CE113" s="485" t="s">
        <v>1790</v>
      </c>
      <c r="CF113" s="850" t="s">
        <v>513</v>
      </c>
      <c r="CG113" s="440" t="s">
        <v>860</v>
      </c>
      <c r="CH113" s="305">
        <v>3090544</v>
      </c>
      <c r="CI113" s="305">
        <f t="shared" si="39"/>
        <v>927163.2</v>
      </c>
      <c r="CJ113" s="306">
        <f t="shared" si="40"/>
        <v>2163380.8</v>
      </c>
      <c r="CK113" s="307" t="e">
        <f>CJ113-#REF!</f>
        <v>#REF!</v>
      </c>
      <c r="CL113" s="592">
        <v>3090544</v>
      </c>
      <c r="CM113" s="21">
        <f t="shared" si="27"/>
        <v>1</v>
      </c>
      <c r="CN113" s="21">
        <f t="shared" si="28"/>
        <v>3.3333333333333335</v>
      </c>
      <c r="CO113" s="54"/>
      <c r="CP113" s="625">
        <f t="shared" si="29"/>
        <v>153.125</v>
      </c>
      <c r="CQ113" s="623">
        <f t="shared" si="30"/>
        <v>137.5</v>
      </c>
      <c r="CR113" s="624" t="str">
        <f t="shared" si="31"/>
        <v>~</v>
      </c>
      <c r="CS113" s="634">
        <f t="shared" si="32"/>
        <v>208</v>
      </c>
      <c r="CT113" s="591">
        <f t="shared" si="43"/>
        <v>1466000</v>
      </c>
      <c r="CU113" s="591">
        <f t="shared" si="33"/>
        <v>260</v>
      </c>
      <c r="CV113" s="591">
        <v>1500</v>
      </c>
      <c r="CW113" s="54"/>
      <c r="CX113" s="54"/>
      <c r="CY113" s="54"/>
      <c r="CZ113" s="54"/>
      <c r="DA113" s="54">
        <v>1.6875</v>
      </c>
      <c r="DB113" s="54">
        <v>6.25</v>
      </c>
      <c r="DC113" s="649">
        <f t="shared" si="34"/>
        <v>5.67342</v>
      </c>
    </row>
    <row r="114" spans="1:107" ht="12.75">
      <c r="A114" s="24" t="s">
        <v>908</v>
      </c>
      <c r="B114" s="117" t="s">
        <v>1186</v>
      </c>
      <c r="C114" s="315" t="s">
        <v>1042</v>
      </c>
      <c r="D114" s="384">
        <v>44</v>
      </c>
      <c r="E114" s="385" t="s">
        <v>1604</v>
      </c>
      <c r="F114" s="15">
        <v>2</v>
      </c>
      <c r="G114" s="18">
        <v>4</v>
      </c>
      <c r="H114" s="17">
        <v>5</v>
      </c>
      <c r="I114" s="19">
        <v>3</v>
      </c>
      <c r="J114" s="324">
        <v>2</v>
      </c>
      <c r="K114" s="188">
        <v>2</v>
      </c>
      <c r="L114" s="871">
        <v>240</v>
      </c>
      <c r="M114" s="885">
        <v>38</v>
      </c>
      <c r="N114" s="106">
        <v>400</v>
      </c>
      <c r="O114" s="454">
        <v>0</v>
      </c>
      <c r="P114" s="531">
        <v>0</v>
      </c>
      <c r="Q114" s="340">
        <v>422</v>
      </c>
      <c r="R114" s="341">
        <v>215</v>
      </c>
      <c r="S114" s="358">
        <f t="shared" si="47"/>
        <v>349.509375</v>
      </c>
      <c r="T114" s="342">
        <v>1421</v>
      </c>
      <c r="U114" s="343">
        <v>28100</v>
      </c>
      <c r="V114" s="344">
        <v>2500</v>
      </c>
      <c r="W114" s="289">
        <v>4.54</v>
      </c>
      <c r="X114" s="340">
        <v>316</v>
      </c>
      <c r="Y114" s="43">
        <v>50</v>
      </c>
      <c r="Z114" s="44">
        <v>10</v>
      </c>
      <c r="AA114" s="44">
        <v>51.25</v>
      </c>
      <c r="AB114" s="49">
        <v>43.125</v>
      </c>
      <c r="AC114" s="345">
        <v>275</v>
      </c>
      <c r="AD114" s="312">
        <v>625</v>
      </c>
      <c r="AE114" s="292">
        <f t="shared" si="46"/>
        <v>0.44</v>
      </c>
      <c r="AF114" s="43">
        <v>0</v>
      </c>
      <c r="AG114" s="44">
        <v>50</v>
      </c>
      <c r="AH114" s="44">
        <v>55</v>
      </c>
      <c r="AI114" s="45">
        <v>30</v>
      </c>
      <c r="AJ114" s="5">
        <f t="shared" si="45"/>
        <v>1013</v>
      </c>
      <c r="AK114" s="103" t="str">
        <f t="shared" si="44"/>
        <v>A</v>
      </c>
      <c r="AL114" s="862">
        <v>293</v>
      </c>
      <c r="AM114" s="458">
        <v>235</v>
      </c>
      <c r="AN114" s="295">
        <f t="shared" si="37"/>
        <v>1.2468085106382978</v>
      </c>
      <c r="AO114" s="145">
        <v>65</v>
      </c>
      <c r="AP114" s="85" t="s">
        <v>465</v>
      </c>
      <c r="AQ114" s="297">
        <v>425</v>
      </c>
      <c r="AR114" s="33">
        <v>0</v>
      </c>
      <c r="AS114" s="34">
        <v>0</v>
      </c>
      <c r="AT114" s="34" t="s">
        <v>438</v>
      </c>
      <c r="AU114" s="73">
        <v>0</v>
      </c>
      <c r="AV114" s="39">
        <v>48</v>
      </c>
      <c r="AW114" s="368">
        <v>218</v>
      </c>
      <c r="AX114" s="33">
        <v>0</v>
      </c>
      <c r="AY114" s="34">
        <v>0</v>
      </c>
      <c r="AZ114" s="34">
        <v>6</v>
      </c>
      <c r="BA114" s="84">
        <v>0</v>
      </c>
      <c r="BB114" s="586">
        <v>6</v>
      </c>
      <c r="BC114" s="590">
        <v>1.67E-06</v>
      </c>
      <c r="BD114" s="588">
        <f t="shared" si="26"/>
        <v>77.16797228906016</v>
      </c>
      <c r="BE114" s="299"/>
      <c r="BF114" s="300"/>
      <c r="BG114" s="112"/>
      <c r="BH114" s="541"/>
      <c r="BI114" s="301"/>
      <c r="BJ114" s="346" t="s">
        <v>1401</v>
      </c>
      <c r="BK114" s="13" t="s">
        <v>1672</v>
      </c>
      <c r="BL114" s="303" t="s">
        <v>23</v>
      </c>
      <c r="BM114" s="86" t="s">
        <v>27</v>
      </c>
      <c r="BN114" s="303" t="s">
        <v>1081</v>
      </c>
      <c r="BO114" s="86"/>
      <c r="BP114" s="1" t="s">
        <v>1</v>
      </c>
      <c r="BR114" s="1">
        <v>78</v>
      </c>
      <c r="BS114" s="21">
        <v>11377</v>
      </c>
      <c r="BT114" s="605"/>
      <c r="BU114" s="600">
        <v>3.75</v>
      </c>
      <c r="BV114" s="601">
        <v>0</v>
      </c>
      <c r="BW114" s="386">
        <f t="shared" si="42"/>
        <v>215</v>
      </c>
      <c r="BX114" s="329">
        <f>IF($F114&gt;0,$BW114*$D$208,"")</f>
        <v>274.125</v>
      </c>
      <c r="BY114" s="329">
        <f>IF($F114&gt;1,$BX114*$D$209,"")</f>
        <v>349.509375</v>
      </c>
      <c r="BZ114" s="329">
        <f>IF($F114&gt;2,$BY114*$D$210,"")</f>
      </c>
      <c r="CA114" s="329">
        <f>IF($F114&gt;3,$BZ114*$D$211,"")</f>
      </c>
      <c r="CB114" s="329">
        <f>IF($F114&gt;4,$CA114*$D$212,"")</f>
      </c>
      <c r="CC114" s="329">
        <f>IF($F114&gt;5,$CB114*$D$213,"")</f>
      </c>
      <c r="CD114" s="329">
        <f>IF($F114&gt;6,$CC114*$D$214,"")</f>
      </c>
      <c r="CE114" s="485" t="s">
        <v>40</v>
      </c>
      <c r="CF114" s="850" t="s">
        <v>513</v>
      </c>
      <c r="CG114" s="440" t="s">
        <v>861</v>
      </c>
      <c r="CH114" s="305">
        <v>3143456</v>
      </c>
      <c r="CI114" s="305">
        <f t="shared" si="39"/>
        <v>943036.7999999999</v>
      </c>
      <c r="CJ114" s="306">
        <f t="shared" si="40"/>
        <v>2200419.2</v>
      </c>
      <c r="CK114" s="307" t="e">
        <f>CJ114-#REF!</f>
        <v>#REF!</v>
      </c>
      <c r="CL114" s="592">
        <v>3143456</v>
      </c>
      <c r="CM114" s="21">
        <f t="shared" si="27"/>
        <v>1</v>
      </c>
      <c r="CN114" s="21">
        <f t="shared" si="28"/>
        <v>3.3333333333333335</v>
      </c>
      <c r="CO114" s="54"/>
      <c r="CP114" s="625">
        <f t="shared" si="29"/>
        <v>154.375</v>
      </c>
      <c r="CQ114" s="626">
        <f t="shared" si="30"/>
        <v>135</v>
      </c>
      <c r="CR114" s="624" t="str">
        <f t="shared" si="31"/>
        <v>A</v>
      </c>
      <c r="CS114" s="634">
        <f t="shared" si="32"/>
        <v>218</v>
      </c>
      <c r="CT114" s="591">
        <f t="shared" si="43"/>
        <v>1421000</v>
      </c>
      <c r="CU114" s="591">
        <f t="shared" si="33"/>
        <v>272.5</v>
      </c>
      <c r="CV114" s="591">
        <v>1500</v>
      </c>
      <c r="CW114" s="54"/>
      <c r="CX114" s="54"/>
      <c r="CY114" s="54"/>
      <c r="CZ114" s="54"/>
      <c r="DA114" s="54">
        <v>1.6875</v>
      </c>
      <c r="DB114" s="54">
        <v>6.25</v>
      </c>
      <c r="DC114" s="649">
        <f t="shared" si="34"/>
        <v>6.45134</v>
      </c>
    </row>
    <row r="115" spans="1:107" ht="12.75">
      <c r="A115" s="24" t="s">
        <v>1723</v>
      </c>
      <c r="B115" s="117" t="s">
        <v>1724</v>
      </c>
      <c r="C115" s="319" t="s">
        <v>99</v>
      </c>
      <c r="D115" s="384">
        <v>44</v>
      </c>
      <c r="E115" s="385" t="s">
        <v>1604</v>
      </c>
      <c r="F115" s="15">
        <v>3</v>
      </c>
      <c r="G115" s="18">
        <v>3</v>
      </c>
      <c r="H115" s="17">
        <v>5</v>
      </c>
      <c r="I115" s="755">
        <v>3</v>
      </c>
      <c r="J115" s="324">
        <v>2</v>
      </c>
      <c r="K115" s="188">
        <v>2</v>
      </c>
      <c r="L115" s="872">
        <v>235</v>
      </c>
      <c r="M115" s="885">
        <v>40</v>
      </c>
      <c r="N115" s="106">
        <v>400</v>
      </c>
      <c r="O115" s="454">
        <v>0</v>
      </c>
      <c r="P115" s="531">
        <v>0</v>
      </c>
      <c r="Q115" s="340">
        <v>281</v>
      </c>
      <c r="R115" s="341">
        <v>195</v>
      </c>
      <c r="S115" s="358">
        <f t="shared" si="47"/>
        <v>404.1710156249999</v>
      </c>
      <c r="T115" s="342">
        <v>1370</v>
      </c>
      <c r="U115" s="343">
        <v>28100</v>
      </c>
      <c r="V115" s="344">
        <v>2500</v>
      </c>
      <c r="W115" s="289">
        <v>4.07</v>
      </c>
      <c r="X115" s="340">
        <v>338</v>
      </c>
      <c r="Y115" s="43">
        <v>60</v>
      </c>
      <c r="Z115" s="44">
        <v>10</v>
      </c>
      <c r="AA115" s="44">
        <v>25</v>
      </c>
      <c r="AB115" s="49">
        <v>43.125</v>
      </c>
      <c r="AC115" s="345">
        <v>246</v>
      </c>
      <c r="AD115" s="312">
        <v>625</v>
      </c>
      <c r="AE115" s="292">
        <f t="shared" si="46"/>
        <v>0.3936</v>
      </c>
      <c r="AF115" s="43">
        <v>25</v>
      </c>
      <c r="AG115" s="44">
        <v>50</v>
      </c>
      <c r="AH115" s="44">
        <v>40</v>
      </c>
      <c r="AI115" s="45">
        <v>30</v>
      </c>
      <c r="AJ115" s="5">
        <f t="shared" si="45"/>
        <v>865</v>
      </c>
      <c r="AK115" s="103" t="str">
        <f t="shared" si="44"/>
        <v>A</v>
      </c>
      <c r="AL115" s="862">
        <v>200</v>
      </c>
      <c r="AM115" s="458">
        <v>160</v>
      </c>
      <c r="AN115" s="295">
        <f t="shared" si="37"/>
        <v>1.25</v>
      </c>
      <c r="AO115" s="145">
        <v>55</v>
      </c>
      <c r="AP115" s="85" t="s">
        <v>465</v>
      </c>
      <c r="AQ115" s="297">
        <v>500</v>
      </c>
      <c r="AR115" s="33">
        <v>0</v>
      </c>
      <c r="AS115" s="34">
        <v>0</v>
      </c>
      <c r="AT115" s="34">
        <v>0</v>
      </c>
      <c r="AU115" s="73" t="s">
        <v>326</v>
      </c>
      <c r="AV115" s="39">
        <v>42</v>
      </c>
      <c r="AW115" s="925">
        <v>248</v>
      </c>
      <c r="AX115" s="33">
        <v>0</v>
      </c>
      <c r="AY115" s="34">
        <v>0</v>
      </c>
      <c r="AZ115" s="34">
        <v>0</v>
      </c>
      <c r="BA115" s="84">
        <v>7</v>
      </c>
      <c r="BB115" s="586">
        <v>6</v>
      </c>
      <c r="BC115" s="590">
        <v>2.24E-06</v>
      </c>
      <c r="BD115" s="588">
        <f t="shared" si="26"/>
        <v>40.73253388946819</v>
      </c>
      <c r="BE115" s="299"/>
      <c r="BF115" s="300"/>
      <c r="BG115" s="112"/>
      <c r="BH115" s="541"/>
      <c r="BI115" s="301"/>
      <c r="BJ115" s="346" t="s">
        <v>1401</v>
      </c>
      <c r="BK115" s="13" t="s">
        <v>1672</v>
      </c>
      <c r="BL115" s="303" t="s">
        <v>24</v>
      </c>
      <c r="BM115" s="86" t="s">
        <v>28</v>
      </c>
      <c r="BN115" s="303" t="s">
        <v>1228</v>
      </c>
      <c r="BO115" s="86"/>
      <c r="BP115" s="1" t="s">
        <v>676</v>
      </c>
      <c r="BR115" s="1">
        <v>78</v>
      </c>
      <c r="BS115" s="21">
        <v>12034</v>
      </c>
      <c r="BT115" s="605"/>
      <c r="BU115" s="600">
        <v>3.75</v>
      </c>
      <c r="BV115" s="601">
        <v>0</v>
      </c>
      <c r="BW115" s="386">
        <f t="shared" si="42"/>
        <v>195</v>
      </c>
      <c r="BX115" s="329">
        <f>IF($F115&gt;0,$BW115*$D$208,"")</f>
        <v>248.62499999999997</v>
      </c>
      <c r="BY115" s="329">
        <f>IF($F115&gt;1,$BX115*$D$209,"")</f>
        <v>316.99687499999993</v>
      </c>
      <c r="BZ115" s="329">
        <f>IF($F115&gt;2,$BY115*$D$210,"")</f>
        <v>404.1710156249999</v>
      </c>
      <c r="CA115" s="329">
        <f>IF($F115&gt;3,$BZ115*$D$211,"")</f>
      </c>
      <c r="CB115" s="329">
        <f>IF($F115&gt;4,$CA115*$D$212,"")</f>
      </c>
      <c r="CC115" s="329">
        <f>IF($F115&gt;5,$CB115*$D$213,"")</f>
      </c>
      <c r="CD115" s="329">
        <f>IF($F115&gt;6,$CC115*$D$214,"")</f>
      </c>
      <c r="CE115" s="485" t="s">
        <v>944</v>
      </c>
      <c r="CF115" s="850" t="s">
        <v>513</v>
      </c>
      <c r="CG115" s="440" t="s">
        <v>1659</v>
      </c>
      <c r="CH115" s="305">
        <v>3013104</v>
      </c>
      <c r="CI115" s="305">
        <f t="shared" si="39"/>
        <v>903931.2</v>
      </c>
      <c r="CJ115" s="306">
        <f t="shared" si="40"/>
        <v>2109172.8</v>
      </c>
      <c r="CK115" s="307" t="e">
        <f>CJ115-#REF!</f>
        <v>#REF!</v>
      </c>
      <c r="CL115" s="592">
        <v>3013104</v>
      </c>
      <c r="CM115" s="21">
        <f t="shared" si="27"/>
        <v>1</v>
      </c>
      <c r="CN115" s="21">
        <f t="shared" si="28"/>
        <v>3.3333333333333335</v>
      </c>
      <c r="CO115" s="54"/>
      <c r="CP115" s="628">
        <f t="shared" si="29"/>
        <v>138.125</v>
      </c>
      <c r="CQ115" s="622">
        <f t="shared" si="30"/>
        <v>145</v>
      </c>
      <c r="CR115" s="624" t="str">
        <f t="shared" si="31"/>
        <v>A</v>
      </c>
      <c r="CS115" s="634">
        <f t="shared" si="32"/>
        <v>248</v>
      </c>
      <c r="CT115" s="591">
        <f t="shared" si="43"/>
        <v>1370000</v>
      </c>
      <c r="CU115" s="591">
        <f t="shared" si="33"/>
        <v>310</v>
      </c>
      <c r="CV115" s="591">
        <v>1500</v>
      </c>
      <c r="CW115" s="54"/>
      <c r="CX115" s="54"/>
      <c r="CY115" s="54"/>
      <c r="CZ115" s="54"/>
      <c r="DA115" s="54">
        <v>1.6875</v>
      </c>
      <c r="DB115" s="54">
        <v>6.25</v>
      </c>
      <c r="DC115" s="649">
        <f t="shared" si="34"/>
        <v>5.575900000000001</v>
      </c>
    </row>
    <row r="116" spans="1:107" ht="12.75">
      <c r="A116" s="387" t="s">
        <v>1522</v>
      </c>
      <c r="B116" s="117" t="s">
        <v>278</v>
      </c>
      <c r="C116" s="308" t="s">
        <v>827</v>
      </c>
      <c r="D116" s="384">
        <v>43</v>
      </c>
      <c r="E116" s="385" t="s">
        <v>335</v>
      </c>
      <c r="F116" s="15">
        <v>3</v>
      </c>
      <c r="G116" s="800">
        <v>4</v>
      </c>
      <c r="H116" s="732">
        <v>3</v>
      </c>
      <c r="I116" s="323">
        <v>0</v>
      </c>
      <c r="J116" s="324">
        <v>2</v>
      </c>
      <c r="K116" s="188">
        <v>2</v>
      </c>
      <c r="L116" s="867">
        <v>195</v>
      </c>
      <c r="M116" s="885">
        <v>40</v>
      </c>
      <c r="N116" s="106">
        <v>400</v>
      </c>
      <c r="O116" s="454">
        <v>60</v>
      </c>
      <c r="P116" s="531">
        <v>20</v>
      </c>
      <c r="Q116" s="340">
        <v>329</v>
      </c>
      <c r="R116" s="341">
        <v>165</v>
      </c>
      <c r="S116" s="358">
        <f t="shared" si="47"/>
        <v>341.9908593749999</v>
      </c>
      <c r="T116" s="342">
        <v>1112</v>
      </c>
      <c r="U116" s="343">
        <v>28100</v>
      </c>
      <c r="V116" s="344">
        <v>2500</v>
      </c>
      <c r="W116" s="289">
        <v>2.97</v>
      </c>
      <c r="X116" s="340">
        <v>375</v>
      </c>
      <c r="Y116" s="43">
        <v>60</v>
      </c>
      <c r="Z116" s="44">
        <v>60</v>
      </c>
      <c r="AA116" s="44">
        <v>43.75</v>
      </c>
      <c r="AB116" s="49">
        <v>35</v>
      </c>
      <c r="AC116" s="345">
        <v>274</v>
      </c>
      <c r="AD116" s="312">
        <v>625</v>
      </c>
      <c r="AE116" s="292">
        <f>AC116/AD116</f>
        <v>0.4384</v>
      </c>
      <c r="AF116" s="43">
        <v>0</v>
      </c>
      <c r="AG116" s="44">
        <v>80</v>
      </c>
      <c r="AH116" s="44">
        <v>55</v>
      </c>
      <c r="AI116" s="45">
        <v>20</v>
      </c>
      <c r="AJ116" s="5">
        <f t="shared" si="45"/>
        <v>978</v>
      </c>
      <c r="AK116" s="103" t="str">
        <f t="shared" si="44"/>
        <v>A</v>
      </c>
      <c r="AL116" s="862">
        <v>415</v>
      </c>
      <c r="AM116" s="926">
        <v>311.25</v>
      </c>
      <c r="AN116" s="295">
        <f>AL116/AM116</f>
        <v>1.3333333333333333</v>
      </c>
      <c r="AO116" s="145">
        <v>36.5</v>
      </c>
      <c r="AP116" s="85" t="s">
        <v>462</v>
      </c>
      <c r="AQ116" s="297">
        <v>572</v>
      </c>
      <c r="AR116" s="33">
        <v>21</v>
      </c>
      <c r="AS116" s="34">
        <v>0</v>
      </c>
      <c r="AT116" s="34">
        <v>0</v>
      </c>
      <c r="AU116" s="73">
        <v>0</v>
      </c>
      <c r="AV116" s="39">
        <v>53</v>
      </c>
      <c r="AW116" s="143">
        <v>324</v>
      </c>
      <c r="AX116" s="33">
        <v>0</v>
      </c>
      <c r="AY116" s="34">
        <v>0</v>
      </c>
      <c r="AZ116" s="34">
        <v>0</v>
      </c>
      <c r="BA116" s="84">
        <v>0</v>
      </c>
      <c r="BB116" s="586">
        <v>6</v>
      </c>
      <c r="BC116" s="590"/>
      <c r="BD116" s="588" t="e">
        <f t="shared" si="26"/>
        <v>#DIV/0!</v>
      </c>
      <c r="BE116" s="299"/>
      <c r="BF116" s="300"/>
      <c r="BG116" s="112"/>
      <c r="BH116" s="541"/>
      <c r="BI116" s="301"/>
      <c r="BJ116" s="346" t="s">
        <v>1401</v>
      </c>
      <c r="BK116" s="36" t="s">
        <v>1148</v>
      </c>
      <c r="BL116" s="303" t="s">
        <v>1577</v>
      </c>
      <c r="BM116" s="86" t="s">
        <v>499</v>
      </c>
      <c r="BN116" s="303" t="s">
        <v>1175</v>
      </c>
      <c r="BO116" s="86"/>
      <c r="BP116" s="1" t="s">
        <v>674</v>
      </c>
      <c r="BR116" s="1">
        <v>78</v>
      </c>
      <c r="BS116" s="21">
        <v>11190</v>
      </c>
      <c r="BT116" s="605" t="s">
        <v>214</v>
      </c>
      <c r="BU116" s="610">
        <v>2</v>
      </c>
      <c r="BV116" s="601">
        <v>0.8</v>
      </c>
      <c r="BW116" s="386">
        <f t="shared" si="42"/>
        <v>165</v>
      </c>
      <c r="BX116" s="329">
        <f>IF($F116&gt;0,$BW116*$D$208,"")</f>
        <v>210.37499999999997</v>
      </c>
      <c r="BY116" s="329">
        <f>IF($F116&gt;1,$BX116*$D$209,"")</f>
        <v>268.2281249999999</v>
      </c>
      <c r="BZ116" s="329">
        <f>IF($F116&gt;2,$BY116*$D$210,"")</f>
        <v>341.9908593749999</v>
      </c>
      <c r="CA116" s="329">
        <f>IF($F116&gt;3,$BZ116*$D$211,"")</f>
      </c>
      <c r="CB116" s="329">
        <f>IF($F116&gt;4,$CA116*$D$212,"")</f>
      </c>
      <c r="CC116" s="329">
        <f>IF($F116&gt;5,$CB116*$D$213,"")</f>
      </c>
      <c r="CD116" s="329">
        <f>IF($F116&gt;6,$CC116*$D$214,"")</f>
      </c>
      <c r="CE116" s="485" t="s">
        <v>863</v>
      </c>
      <c r="CF116" s="851" t="s">
        <v>182</v>
      </c>
      <c r="CG116" s="440"/>
      <c r="CH116" s="305"/>
      <c r="CI116" s="305">
        <f t="shared" si="39"/>
        <v>0</v>
      </c>
      <c r="CJ116" s="306">
        <f>CH116-CI116</f>
        <v>0</v>
      </c>
      <c r="CK116" s="307" t="e">
        <f>CJ116-#REF!</f>
        <v>#REF!</v>
      </c>
      <c r="CL116" s="54"/>
      <c r="CM116" s="21" t="e">
        <f t="shared" si="27"/>
        <v>#DIV/0!</v>
      </c>
      <c r="CN116" s="21" t="e">
        <f t="shared" si="28"/>
        <v>#DIV/0!</v>
      </c>
      <c r="CO116" s="54"/>
      <c r="CP116" s="625">
        <f t="shared" si="29"/>
        <v>198.75</v>
      </c>
      <c r="CQ116" s="626">
        <f t="shared" si="30"/>
        <v>155</v>
      </c>
      <c r="CR116" s="624" t="str">
        <f t="shared" si="31"/>
        <v>A</v>
      </c>
      <c r="CS116" s="634">
        <f t="shared" si="32"/>
        <v>324</v>
      </c>
      <c r="CT116" s="591">
        <f t="shared" si="43"/>
        <v>1112000</v>
      </c>
      <c r="CU116" s="591">
        <f t="shared" si="33"/>
        <v>405</v>
      </c>
      <c r="CV116" s="591">
        <v>1500</v>
      </c>
      <c r="CW116" s="54"/>
      <c r="CX116" s="54"/>
      <c r="CY116" s="54"/>
      <c r="CZ116" s="54"/>
      <c r="DA116" s="54">
        <v>1.6875</v>
      </c>
      <c r="DB116" s="54">
        <v>6.25</v>
      </c>
      <c r="DC116" s="649">
        <f t="shared" si="34"/>
        <v>3.3026400000000002</v>
      </c>
    </row>
    <row r="117" spans="1:107" ht="12.75">
      <c r="A117" s="24" t="s">
        <v>118</v>
      </c>
      <c r="B117" s="117" t="s">
        <v>1077</v>
      </c>
      <c r="C117" s="636" t="s">
        <v>865</v>
      </c>
      <c r="D117" s="384">
        <v>43</v>
      </c>
      <c r="E117" s="385" t="s">
        <v>335</v>
      </c>
      <c r="F117" s="15">
        <v>2</v>
      </c>
      <c r="G117" s="684">
        <v>5</v>
      </c>
      <c r="H117" s="17">
        <v>3</v>
      </c>
      <c r="I117" s="323">
        <v>3</v>
      </c>
      <c r="J117" s="324">
        <v>1</v>
      </c>
      <c r="K117" s="188">
        <v>2</v>
      </c>
      <c r="L117" s="867">
        <v>270</v>
      </c>
      <c r="M117" s="885">
        <v>26</v>
      </c>
      <c r="N117" s="106">
        <v>400</v>
      </c>
      <c r="O117" s="454">
        <v>0</v>
      </c>
      <c r="P117" s="531">
        <v>0</v>
      </c>
      <c r="Q117" s="340">
        <v>250</v>
      </c>
      <c r="R117" s="341">
        <v>160</v>
      </c>
      <c r="S117" s="358">
        <f t="shared" si="47"/>
        <v>260.09999999999997</v>
      </c>
      <c r="T117" s="342">
        <v>1117</v>
      </c>
      <c r="U117" s="343">
        <v>19400</v>
      </c>
      <c r="V117" s="344">
        <v>2500</v>
      </c>
      <c r="W117" s="289">
        <v>2.7</v>
      </c>
      <c r="X117" s="340">
        <v>250</v>
      </c>
      <c r="Y117" s="43">
        <v>60</v>
      </c>
      <c r="Z117" s="44">
        <v>10</v>
      </c>
      <c r="AA117" s="44">
        <v>43.75</v>
      </c>
      <c r="AB117" s="49">
        <v>72.5</v>
      </c>
      <c r="AC117" s="345">
        <v>391</v>
      </c>
      <c r="AD117" s="312">
        <v>625</v>
      </c>
      <c r="AE117" s="292">
        <f>AC117/AD117</f>
        <v>0.6256</v>
      </c>
      <c r="AF117" s="43">
        <v>0</v>
      </c>
      <c r="AG117" s="44">
        <v>60</v>
      </c>
      <c r="AH117" s="44">
        <v>55</v>
      </c>
      <c r="AI117" s="45">
        <v>60</v>
      </c>
      <c r="AJ117" s="5">
        <f t="shared" si="45"/>
        <v>891</v>
      </c>
      <c r="AK117" s="103" t="str">
        <f t="shared" si="44"/>
        <v>S</v>
      </c>
      <c r="AL117" s="904">
        <v>415</v>
      </c>
      <c r="AM117" s="458">
        <v>311.25</v>
      </c>
      <c r="AN117" s="295">
        <f>AL117/AM117</f>
        <v>1.3333333333333333</v>
      </c>
      <c r="AO117" s="145">
        <v>42</v>
      </c>
      <c r="AP117" s="85" t="s">
        <v>462</v>
      </c>
      <c r="AQ117" s="297">
        <v>520</v>
      </c>
      <c r="AR117" s="33">
        <v>0</v>
      </c>
      <c r="AS117" s="34">
        <v>24</v>
      </c>
      <c r="AT117" s="34">
        <v>0</v>
      </c>
      <c r="AU117" s="73">
        <v>0</v>
      </c>
      <c r="AV117" s="39">
        <v>58</v>
      </c>
      <c r="AW117" s="143">
        <v>315</v>
      </c>
      <c r="AX117" s="33">
        <v>0</v>
      </c>
      <c r="AY117" s="34">
        <v>0</v>
      </c>
      <c r="AZ117" s="34">
        <v>0</v>
      </c>
      <c r="BA117" s="84">
        <v>0</v>
      </c>
      <c r="BB117" s="586">
        <v>6</v>
      </c>
      <c r="BC117" s="590"/>
      <c r="BD117" s="588" t="e">
        <f t="shared" si="26"/>
        <v>#DIV/0!</v>
      </c>
      <c r="BE117" s="299"/>
      <c r="BF117" s="300"/>
      <c r="BG117" s="112"/>
      <c r="BH117" s="541"/>
      <c r="BI117" s="301"/>
      <c r="BJ117" s="346" t="s">
        <v>1401</v>
      </c>
      <c r="BK117" s="36" t="s">
        <v>181</v>
      </c>
      <c r="BL117" s="303" t="s">
        <v>161</v>
      </c>
      <c r="BM117" s="86" t="s">
        <v>168</v>
      </c>
      <c r="BN117" s="303" t="s">
        <v>1229</v>
      </c>
      <c r="BO117" s="86"/>
      <c r="BP117" s="1" t="s">
        <v>925</v>
      </c>
      <c r="BR117" s="1">
        <v>85</v>
      </c>
      <c r="BS117" s="21">
        <v>11194</v>
      </c>
      <c r="BT117" s="605" t="s">
        <v>214</v>
      </c>
      <c r="BU117" s="610">
        <v>3</v>
      </c>
      <c r="BV117" s="601">
        <v>0</v>
      </c>
      <c r="BW117" s="386">
        <f t="shared" si="42"/>
        <v>160</v>
      </c>
      <c r="BX117" s="329">
        <f>IF($F117&gt;0,$BW117*$D$208,"")</f>
        <v>204</v>
      </c>
      <c r="BY117" s="329">
        <f>IF($F117&gt;1,$BX117*$D$209,"")</f>
        <v>260.09999999999997</v>
      </c>
      <c r="BZ117" s="329">
        <f>IF($F117&gt;2,$BY117*$D$210,"")</f>
      </c>
      <c r="CA117" s="329">
        <f>IF($F117&gt;3,$BZ117*$D$211,"")</f>
      </c>
      <c r="CB117" s="329">
        <f>IF($F117&gt;4,$CA117*$D$212,"")</f>
      </c>
      <c r="CC117" s="329">
        <f>IF($F117&gt;5,$CB117*$D$213,"")</f>
      </c>
      <c r="CD117" s="329">
        <f>IF($F117&gt;6,$CC117*$D$214,"")</f>
      </c>
      <c r="CE117" s="485" t="s">
        <v>1203</v>
      </c>
      <c r="CF117" s="851" t="s">
        <v>182</v>
      </c>
      <c r="CG117" s="440"/>
      <c r="CH117" s="305"/>
      <c r="CI117" s="305">
        <f t="shared" si="39"/>
        <v>0</v>
      </c>
      <c r="CJ117" s="306">
        <f>CH117-CI117</f>
        <v>0</v>
      </c>
      <c r="CK117" s="307" t="e">
        <f>CJ117-#REF!</f>
        <v>#REF!</v>
      </c>
      <c r="CL117" s="54"/>
      <c r="CM117" s="21" t="e">
        <f t="shared" si="27"/>
        <v>#DIV/0!</v>
      </c>
      <c r="CN117" s="21" t="e">
        <f t="shared" si="28"/>
        <v>#DIV/0!</v>
      </c>
      <c r="CO117" s="54"/>
      <c r="CP117" s="622">
        <f t="shared" si="29"/>
        <v>186.25</v>
      </c>
      <c r="CQ117" s="623">
        <f t="shared" si="30"/>
        <v>175</v>
      </c>
      <c r="CR117" s="624" t="str">
        <f t="shared" si="31"/>
        <v>S</v>
      </c>
      <c r="CS117" s="634">
        <f t="shared" si="32"/>
        <v>315</v>
      </c>
      <c r="CT117" s="591">
        <f t="shared" si="43"/>
        <v>1117000</v>
      </c>
      <c r="CU117" s="591">
        <f t="shared" si="33"/>
        <v>393.75</v>
      </c>
      <c r="CV117" s="591">
        <v>1500</v>
      </c>
      <c r="CW117" s="54"/>
      <c r="CX117" s="54"/>
      <c r="CY117" s="54"/>
      <c r="CZ117" s="54"/>
      <c r="DA117" s="54">
        <v>1.6875</v>
      </c>
      <c r="DB117" s="54">
        <v>6.25</v>
      </c>
      <c r="DC117" s="649">
        <f t="shared" si="34"/>
        <v>3.0159000000000002</v>
      </c>
    </row>
    <row r="118" spans="1:107" ht="12.75">
      <c r="A118" s="24" t="s">
        <v>1523</v>
      </c>
      <c r="B118" s="117" t="s">
        <v>263</v>
      </c>
      <c r="C118" s="315" t="s">
        <v>1042</v>
      </c>
      <c r="D118" s="384">
        <v>43</v>
      </c>
      <c r="E118" s="385" t="s">
        <v>335</v>
      </c>
      <c r="F118" s="15">
        <v>3</v>
      </c>
      <c r="G118" s="684">
        <v>5</v>
      </c>
      <c r="H118" s="17">
        <v>2</v>
      </c>
      <c r="I118" s="323">
        <v>0</v>
      </c>
      <c r="J118" s="324">
        <v>2</v>
      </c>
      <c r="K118" s="188">
        <v>2</v>
      </c>
      <c r="L118" s="867">
        <v>205</v>
      </c>
      <c r="M118" s="885">
        <v>33</v>
      </c>
      <c r="N118" s="106">
        <v>400</v>
      </c>
      <c r="O118" s="454">
        <v>10</v>
      </c>
      <c r="P118" s="531">
        <v>5</v>
      </c>
      <c r="Q118" s="340">
        <v>329</v>
      </c>
      <c r="R118" s="341">
        <v>175</v>
      </c>
      <c r="S118" s="358">
        <f t="shared" si="47"/>
        <v>362.7175781249999</v>
      </c>
      <c r="T118" s="342">
        <v>1095</v>
      </c>
      <c r="U118" s="343">
        <v>23000</v>
      </c>
      <c r="V118" s="344">
        <v>2500</v>
      </c>
      <c r="W118" s="289">
        <v>2.87</v>
      </c>
      <c r="X118" s="340">
        <v>351</v>
      </c>
      <c r="Y118" s="43">
        <v>60</v>
      </c>
      <c r="Z118" s="44">
        <v>10</v>
      </c>
      <c r="AA118" s="44">
        <v>67.5</v>
      </c>
      <c r="AB118" s="49">
        <v>51.25</v>
      </c>
      <c r="AC118" s="345">
        <v>313</v>
      </c>
      <c r="AD118" s="312">
        <v>625</v>
      </c>
      <c r="AE118" s="292">
        <f>AC118/AD118</f>
        <v>0.5008</v>
      </c>
      <c r="AF118" s="43">
        <v>0</v>
      </c>
      <c r="AG118" s="44">
        <v>60</v>
      </c>
      <c r="AH118" s="44">
        <v>70</v>
      </c>
      <c r="AI118" s="45">
        <v>40</v>
      </c>
      <c r="AJ118" s="5">
        <f t="shared" si="45"/>
        <v>993</v>
      </c>
      <c r="AK118" s="103" t="str">
        <f t="shared" si="44"/>
        <v>A</v>
      </c>
      <c r="AL118" s="862">
        <v>375</v>
      </c>
      <c r="AM118" s="458">
        <v>280.13</v>
      </c>
      <c r="AN118" s="295">
        <f>AL118/AM118</f>
        <v>1.3386641916253168</v>
      </c>
      <c r="AO118" s="145">
        <v>39.25</v>
      </c>
      <c r="AP118" s="85" t="s">
        <v>462</v>
      </c>
      <c r="AQ118" s="297">
        <v>546</v>
      </c>
      <c r="AR118" s="33">
        <v>0</v>
      </c>
      <c r="AS118" s="34">
        <v>0</v>
      </c>
      <c r="AT118" s="34">
        <v>22</v>
      </c>
      <c r="AU118" s="73">
        <v>0</v>
      </c>
      <c r="AV118" s="39">
        <v>55</v>
      </c>
      <c r="AW118" s="143">
        <v>331</v>
      </c>
      <c r="AX118" s="33">
        <v>0</v>
      </c>
      <c r="AY118" s="34">
        <v>0</v>
      </c>
      <c r="AZ118" s="34">
        <v>0</v>
      </c>
      <c r="BA118" s="84">
        <v>0</v>
      </c>
      <c r="BB118" s="586">
        <v>6</v>
      </c>
      <c r="BC118" s="590"/>
      <c r="BD118" s="588" t="e">
        <f t="shared" si="26"/>
        <v>#DIV/0!</v>
      </c>
      <c r="BE118" s="299"/>
      <c r="BF118" s="300"/>
      <c r="BG118" s="112"/>
      <c r="BH118" s="541"/>
      <c r="BI118" s="301"/>
      <c r="BJ118" s="346" t="s">
        <v>1401</v>
      </c>
      <c r="BK118" s="36" t="s">
        <v>181</v>
      </c>
      <c r="BL118" s="303" t="s">
        <v>1263</v>
      </c>
      <c r="BM118" s="86" t="s">
        <v>107</v>
      </c>
      <c r="BN118" s="303" t="s">
        <v>1081</v>
      </c>
      <c r="BO118" s="86"/>
      <c r="BP118" s="1" t="s">
        <v>297</v>
      </c>
      <c r="BR118" s="1">
        <v>78</v>
      </c>
      <c r="BS118" s="21">
        <v>11174</v>
      </c>
      <c r="BT118" s="605" t="s">
        <v>214</v>
      </c>
      <c r="BU118" s="610">
        <v>2</v>
      </c>
      <c r="BV118" s="601">
        <v>0.2</v>
      </c>
      <c r="BW118" s="386">
        <f t="shared" si="42"/>
        <v>175</v>
      </c>
      <c r="BX118" s="329">
        <f>IF($F118&gt;0,$BW118*$D$208,"")</f>
        <v>223.12499999999997</v>
      </c>
      <c r="BY118" s="329">
        <f>IF($F118&gt;1,$BX118*$D$209,"")</f>
        <v>284.48437499999994</v>
      </c>
      <c r="BZ118" s="329">
        <f>IF($F118&gt;2,$BY118*$D$210,"")</f>
        <v>362.7175781249999</v>
      </c>
      <c r="CA118" s="329">
        <f>IF($F118&gt;3,$BZ118*$D$211,"")</f>
      </c>
      <c r="CB118" s="329">
        <f>IF($F118&gt;4,$CA118*$D$212,"")</f>
      </c>
      <c r="CC118" s="329">
        <f>IF($F118&gt;5,$CB118*$D$213,"")</f>
      </c>
      <c r="CD118" s="329">
        <f>IF($F118&gt;6,$CC118*$D$214,"")</f>
      </c>
      <c r="CE118" s="485" t="s">
        <v>768</v>
      </c>
      <c r="CF118" s="851" t="s">
        <v>182</v>
      </c>
      <c r="CG118" s="440"/>
      <c r="CH118" s="305"/>
      <c r="CI118" s="305">
        <f t="shared" si="39"/>
        <v>0</v>
      </c>
      <c r="CJ118" s="306">
        <f>CH118-CI118</f>
        <v>0</v>
      </c>
      <c r="CK118" s="307" t="e">
        <f>CJ118-#REF!</f>
        <v>#REF!</v>
      </c>
      <c r="CL118" s="54"/>
      <c r="CM118" s="21" t="e">
        <f t="shared" si="27"/>
        <v>#DIV/0!</v>
      </c>
      <c r="CN118" s="21" t="e">
        <f t="shared" si="28"/>
        <v>#DIV/0!</v>
      </c>
      <c r="CO118" s="54"/>
      <c r="CP118" s="625">
        <f t="shared" si="29"/>
        <v>188.75</v>
      </c>
      <c r="CQ118" s="626">
        <f t="shared" si="30"/>
        <v>170</v>
      </c>
      <c r="CR118" s="624" t="str">
        <f t="shared" si="31"/>
        <v>A</v>
      </c>
      <c r="CS118" s="634">
        <f t="shared" si="32"/>
        <v>331</v>
      </c>
      <c r="CT118" s="591">
        <f t="shared" si="43"/>
        <v>1095000</v>
      </c>
      <c r="CU118" s="591">
        <f t="shared" si="33"/>
        <v>413.75</v>
      </c>
      <c r="CV118" s="591">
        <v>1500</v>
      </c>
      <c r="CW118" s="54"/>
      <c r="CX118" s="54"/>
      <c r="CY118" s="54"/>
      <c r="CZ118" s="54"/>
      <c r="DA118" s="54">
        <v>1.6875</v>
      </c>
      <c r="DB118" s="54">
        <v>6.25</v>
      </c>
      <c r="DC118" s="649">
        <f t="shared" si="34"/>
        <v>3.14265</v>
      </c>
    </row>
    <row r="119" spans="1:107" ht="12.75">
      <c r="A119" s="24" t="s">
        <v>1524</v>
      </c>
      <c r="B119" s="117" t="s">
        <v>981</v>
      </c>
      <c r="C119" s="319" t="s">
        <v>99</v>
      </c>
      <c r="D119" s="384">
        <v>43</v>
      </c>
      <c r="E119" s="385" t="s">
        <v>335</v>
      </c>
      <c r="F119" s="15">
        <v>3</v>
      </c>
      <c r="G119" s="801">
        <v>4</v>
      </c>
      <c r="H119" s="17">
        <v>3</v>
      </c>
      <c r="I119" s="323">
        <v>2</v>
      </c>
      <c r="J119" s="324">
        <v>2</v>
      </c>
      <c r="K119" s="188">
        <v>2</v>
      </c>
      <c r="L119" s="867">
        <v>145</v>
      </c>
      <c r="M119" s="885">
        <v>36</v>
      </c>
      <c r="N119" s="106">
        <v>400</v>
      </c>
      <c r="O119" s="454">
        <v>0</v>
      </c>
      <c r="P119" s="531">
        <v>0</v>
      </c>
      <c r="Q119" s="340">
        <v>258</v>
      </c>
      <c r="R119" s="341">
        <v>150</v>
      </c>
      <c r="S119" s="358">
        <f t="shared" si="47"/>
        <v>310.90078124999997</v>
      </c>
      <c r="T119" s="342">
        <v>1083</v>
      </c>
      <c r="U119" s="343">
        <v>17400</v>
      </c>
      <c r="V119" s="344">
        <v>2500</v>
      </c>
      <c r="W119" s="289">
        <v>2.75</v>
      </c>
      <c r="X119" s="340">
        <v>274</v>
      </c>
      <c r="Y119" s="43">
        <v>85</v>
      </c>
      <c r="Z119" s="44">
        <v>10</v>
      </c>
      <c r="AA119" s="44">
        <v>25</v>
      </c>
      <c r="AB119" s="49">
        <v>51.25</v>
      </c>
      <c r="AC119" s="345">
        <v>274</v>
      </c>
      <c r="AD119" s="312">
        <v>625</v>
      </c>
      <c r="AE119" s="292">
        <f>AC119/AD119</f>
        <v>0.4384</v>
      </c>
      <c r="AF119" s="43">
        <v>50</v>
      </c>
      <c r="AG119" s="44">
        <v>60</v>
      </c>
      <c r="AH119" s="44">
        <v>40</v>
      </c>
      <c r="AI119" s="45">
        <v>40</v>
      </c>
      <c r="AJ119" s="5">
        <f t="shared" si="45"/>
        <v>806</v>
      </c>
      <c r="AK119" s="103" t="str">
        <f t="shared" si="44"/>
        <v>=</v>
      </c>
      <c r="AL119" s="862">
        <v>355</v>
      </c>
      <c r="AM119" s="458">
        <v>266.25</v>
      </c>
      <c r="AN119" s="295">
        <f>AL119/AM119</f>
        <v>1.3333333333333333</v>
      </c>
      <c r="AO119" s="145">
        <v>35</v>
      </c>
      <c r="AP119" s="85" t="s">
        <v>462</v>
      </c>
      <c r="AQ119" s="297">
        <v>592</v>
      </c>
      <c r="AR119" s="33">
        <v>0</v>
      </c>
      <c r="AS119" s="34">
        <v>0</v>
      </c>
      <c r="AT119" s="34">
        <v>0</v>
      </c>
      <c r="AU119" s="73">
        <v>21</v>
      </c>
      <c r="AV119" s="830">
        <v>51</v>
      </c>
      <c r="AW119" s="900">
        <v>340</v>
      </c>
      <c r="AX119" s="33">
        <v>0</v>
      </c>
      <c r="AY119" s="34">
        <v>0</v>
      </c>
      <c r="AZ119" s="34">
        <v>0</v>
      </c>
      <c r="BA119" s="84">
        <v>0</v>
      </c>
      <c r="BB119" s="586">
        <v>6</v>
      </c>
      <c r="BC119" s="590"/>
      <c r="BD119" s="588" t="e">
        <f t="shared" si="26"/>
        <v>#DIV/0!</v>
      </c>
      <c r="BE119" s="299"/>
      <c r="BF119" s="300"/>
      <c r="BG119" s="112"/>
      <c r="BH119" s="541"/>
      <c r="BI119" s="301"/>
      <c r="BJ119" s="346" t="s">
        <v>1401</v>
      </c>
      <c r="BK119" s="36" t="s">
        <v>1794</v>
      </c>
      <c r="BL119" s="303" t="s">
        <v>1262</v>
      </c>
      <c r="BM119" s="86" t="s">
        <v>1109</v>
      </c>
      <c r="BN119" s="303" t="s">
        <v>1172</v>
      </c>
      <c r="BO119" s="86"/>
      <c r="BP119" s="1" t="s">
        <v>675</v>
      </c>
      <c r="BR119" s="1">
        <v>65</v>
      </c>
      <c r="BS119" s="21">
        <v>11387</v>
      </c>
      <c r="BT119" s="605" t="s">
        <v>214</v>
      </c>
      <c r="BU119" s="610">
        <v>3</v>
      </c>
      <c r="BV119" s="601">
        <v>0</v>
      </c>
      <c r="BW119" s="386">
        <f t="shared" si="42"/>
        <v>150</v>
      </c>
      <c r="BX119" s="329">
        <f>IF($F119&gt;0,$BW119*$D$208,"")</f>
        <v>191.25</v>
      </c>
      <c r="BY119" s="329">
        <f>IF($F119&gt;1,$BX119*$D$209,"")</f>
        <v>243.84374999999997</v>
      </c>
      <c r="BZ119" s="329">
        <f>IF($F119&gt;2,$BY119*$D$210,"")</f>
        <v>310.90078124999997</v>
      </c>
      <c r="CA119" s="329">
        <f>IF($F119&gt;3,$BZ119*$D$211,"")</f>
      </c>
      <c r="CB119" s="329">
        <f>IF($F119&gt;4,$CA119*$D$212,"")</f>
      </c>
      <c r="CC119" s="329">
        <f>IF($F119&gt;5,$CB119*$D$213,"")</f>
      </c>
      <c r="CD119" s="329">
        <f>IF($F119&gt;6,$CC119*$D$214,"")</f>
      </c>
      <c r="CE119" s="485" t="s">
        <v>1643</v>
      </c>
      <c r="CF119" s="851" t="s">
        <v>182</v>
      </c>
      <c r="CG119" s="440"/>
      <c r="CH119" s="305"/>
      <c r="CI119" s="305">
        <f t="shared" si="39"/>
        <v>0</v>
      </c>
      <c r="CJ119" s="306">
        <f>CH119-CI119</f>
        <v>0</v>
      </c>
      <c r="CK119" s="307" t="e">
        <f>CJ119-#REF!</f>
        <v>#REF!</v>
      </c>
      <c r="CL119" s="54"/>
      <c r="CM119" s="21" t="e">
        <f t="shared" si="27"/>
        <v>#DIV/0!</v>
      </c>
      <c r="CN119" s="21" t="e">
        <f t="shared" si="28"/>
        <v>#DIV/0!</v>
      </c>
      <c r="CO119" s="54"/>
      <c r="CP119" s="628">
        <f t="shared" si="29"/>
        <v>171.25</v>
      </c>
      <c r="CQ119" s="627">
        <f t="shared" si="30"/>
        <v>190</v>
      </c>
      <c r="CR119" s="624" t="str">
        <f t="shared" si="31"/>
        <v>=</v>
      </c>
      <c r="CS119" s="634">
        <f t="shared" si="32"/>
        <v>340</v>
      </c>
      <c r="CT119" s="591">
        <f t="shared" si="43"/>
        <v>1083000</v>
      </c>
      <c r="CU119" s="591">
        <f t="shared" si="33"/>
        <v>425</v>
      </c>
      <c r="CV119" s="591">
        <v>1500</v>
      </c>
      <c r="CW119" s="54"/>
      <c r="CX119" s="54"/>
      <c r="CY119" s="54"/>
      <c r="CZ119" s="54"/>
      <c r="DA119" s="54">
        <v>1.6875</v>
      </c>
      <c r="DB119" s="54">
        <v>6.25</v>
      </c>
      <c r="DC119" s="649">
        <f t="shared" si="34"/>
        <v>2.97825</v>
      </c>
    </row>
    <row r="120" spans="1:107" ht="12.75">
      <c r="A120" s="387" t="s">
        <v>541</v>
      </c>
      <c r="B120" s="117" t="s">
        <v>471</v>
      </c>
      <c r="C120" s="308" t="s">
        <v>827</v>
      </c>
      <c r="D120" s="384">
        <v>42</v>
      </c>
      <c r="E120" s="385" t="s">
        <v>570</v>
      </c>
      <c r="F120" s="15">
        <v>3</v>
      </c>
      <c r="G120" s="18">
        <v>4</v>
      </c>
      <c r="H120" s="17">
        <v>3</v>
      </c>
      <c r="I120" s="754">
        <v>2</v>
      </c>
      <c r="J120" s="324">
        <v>2</v>
      </c>
      <c r="K120" s="188">
        <v>2</v>
      </c>
      <c r="L120" s="870">
        <v>280</v>
      </c>
      <c r="M120" s="885">
        <v>20</v>
      </c>
      <c r="N120" s="106">
        <v>400</v>
      </c>
      <c r="O120" s="454">
        <v>0</v>
      </c>
      <c r="P120" s="531">
        <v>0</v>
      </c>
      <c r="Q120" s="340">
        <v>422</v>
      </c>
      <c r="R120" s="341">
        <v>190</v>
      </c>
      <c r="S120" s="358">
        <f t="shared" si="47"/>
        <v>393.80765624999987</v>
      </c>
      <c r="T120" s="342">
        <v>1147</v>
      </c>
      <c r="U120" s="343">
        <v>28100</v>
      </c>
      <c r="V120" s="344">
        <v>2500</v>
      </c>
      <c r="W120" s="289">
        <v>3.42</v>
      </c>
      <c r="X120" s="340">
        <v>528</v>
      </c>
      <c r="Y120" s="43">
        <v>50</v>
      </c>
      <c r="Z120" s="44">
        <v>30</v>
      </c>
      <c r="AA120" s="44">
        <v>25</v>
      </c>
      <c r="AB120" s="49">
        <v>35</v>
      </c>
      <c r="AC120" s="345">
        <v>422</v>
      </c>
      <c r="AD120" s="312">
        <v>625</v>
      </c>
      <c r="AE120" s="292">
        <f t="shared" si="46"/>
        <v>0.6752</v>
      </c>
      <c r="AF120" s="43">
        <v>0</v>
      </c>
      <c r="AG120" s="44">
        <v>60</v>
      </c>
      <c r="AH120" s="44">
        <v>40</v>
      </c>
      <c r="AI120" s="45">
        <v>20</v>
      </c>
      <c r="AJ120" s="5">
        <f t="shared" si="45"/>
        <v>1372</v>
      </c>
      <c r="AK120" s="103" t="str">
        <f t="shared" si="44"/>
        <v>A</v>
      </c>
      <c r="AL120" s="862">
        <v>250</v>
      </c>
      <c r="AM120" s="926">
        <v>187.5</v>
      </c>
      <c r="AN120" s="295">
        <f t="shared" si="37"/>
        <v>1.3333333333333333</v>
      </c>
      <c r="AO120" s="145">
        <v>42</v>
      </c>
      <c r="AP120" s="85" t="s">
        <v>465</v>
      </c>
      <c r="AQ120" s="297">
        <v>435</v>
      </c>
      <c r="AR120" s="33">
        <v>22</v>
      </c>
      <c r="AS120" s="34">
        <v>0</v>
      </c>
      <c r="AT120" s="34">
        <v>0</v>
      </c>
      <c r="AU120" s="73">
        <v>0</v>
      </c>
      <c r="AV120" s="39">
        <v>47</v>
      </c>
      <c r="AW120" s="368">
        <v>282</v>
      </c>
      <c r="AX120" s="33">
        <v>6</v>
      </c>
      <c r="AY120" s="34">
        <v>0</v>
      </c>
      <c r="AZ120" s="34">
        <v>0</v>
      </c>
      <c r="BA120" s="84">
        <v>0</v>
      </c>
      <c r="BB120" s="586">
        <v>13.5</v>
      </c>
      <c r="BC120" s="590">
        <v>1.28571E-06</v>
      </c>
      <c r="BD120" s="588">
        <f t="shared" si="26"/>
        <v>105.9530800974025</v>
      </c>
      <c r="BE120" s="299"/>
      <c r="BF120" s="300"/>
      <c r="BG120" s="112"/>
      <c r="BH120" s="541"/>
      <c r="BI120" s="301"/>
      <c r="BJ120" s="346" t="s">
        <v>1401</v>
      </c>
      <c r="BK120" s="13" t="s">
        <v>1758</v>
      </c>
      <c r="BL120" s="303" t="s">
        <v>543</v>
      </c>
      <c r="BM120" s="86" t="s">
        <v>721</v>
      </c>
      <c r="BN120" s="303" t="s">
        <v>1174</v>
      </c>
      <c r="BO120" s="86"/>
      <c r="BP120" s="1" t="s">
        <v>603</v>
      </c>
      <c r="BR120" s="1">
        <v>78</v>
      </c>
      <c r="BS120" s="21">
        <v>11188</v>
      </c>
      <c r="BT120" s="605"/>
      <c r="BU120" s="600">
        <v>2.5</v>
      </c>
      <c r="BV120" s="601">
        <v>0</v>
      </c>
      <c r="BW120" s="386">
        <f t="shared" si="42"/>
        <v>190</v>
      </c>
      <c r="BX120" s="329">
        <f>IF($F120&gt;0,$BW120*$D$208,"")</f>
        <v>242.24999999999997</v>
      </c>
      <c r="BY120" s="329">
        <f>IF($F120&gt;1,$BX120*$D$209,"")</f>
        <v>308.8687499999999</v>
      </c>
      <c r="BZ120" s="329">
        <f>IF($F120&gt;2,$BY120*$D$210,"")</f>
        <v>393.80765624999987</v>
      </c>
      <c r="CA120" s="329">
        <f>IF($F120&gt;3,$BZ120*$D$211,"")</f>
      </c>
      <c r="CB120" s="329">
        <f>IF($F120&gt;4,$CA120*$D$212,"")</f>
      </c>
      <c r="CC120" s="329">
        <f>IF($F120&gt;5,$CB120*$D$213,"")</f>
      </c>
      <c r="CD120" s="329">
        <f>IF($F120&gt;6,$CC120*$D$214,"")</f>
      </c>
      <c r="CE120" s="485" t="s">
        <v>952</v>
      </c>
      <c r="CF120" s="854" t="s">
        <v>584</v>
      </c>
      <c r="CG120" s="440" t="s">
        <v>1660</v>
      </c>
      <c r="CH120" s="305">
        <v>2291660</v>
      </c>
      <c r="CI120" s="305">
        <f t="shared" si="39"/>
        <v>687498</v>
      </c>
      <c r="CJ120" s="306">
        <f t="shared" si="40"/>
        <v>1604162</v>
      </c>
      <c r="CK120" s="307" t="e">
        <f>CJ120-#REF!</f>
        <v>#REF!</v>
      </c>
      <c r="CL120" s="591">
        <v>2291660</v>
      </c>
      <c r="CM120" s="21">
        <f t="shared" si="27"/>
        <v>1</v>
      </c>
      <c r="CN120" s="21">
        <f t="shared" si="28"/>
        <v>3.3333333333333335</v>
      </c>
      <c r="CO120" s="54"/>
      <c r="CP120" s="625">
        <f t="shared" si="29"/>
        <v>140</v>
      </c>
      <c r="CQ120" s="626">
        <f t="shared" si="30"/>
        <v>120</v>
      </c>
      <c r="CR120" s="624" t="str">
        <f t="shared" si="31"/>
        <v>A</v>
      </c>
      <c r="CS120" s="634">
        <f t="shared" si="32"/>
        <v>282</v>
      </c>
      <c r="CT120" s="591">
        <f t="shared" si="43"/>
        <v>1147000</v>
      </c>
      <c r="CU120" s="591">
        <f t="shared" si="33"/>
        <v>352.5</v>
      </c>
      <c r="CV120" s="591">
        <v>1500</v>
      </c>
      <c r="CW120" s="54"/>
      <c r="CX120" s="54"/>
      <c r="CY120" s="54"/>
      <c r="CZ120" s="54"/>
      <c r="DA120" s="54">
        <v>1.6875</v>
      </c>
      <c r="DB120" s="54">
        <v>6.25</v>
      </c>
      <c r="DC120" s="649">
        <f t="shared" si="34"/>
        <v>3.9227399999999997</v>
      </c>
    </row>
    <row r="121" spans="1:107" ht="12.75">
      <c r="A121" s="24" t="s">
        <v>542</v>
      </c>
      <c r="B121" s="117" t="s">
        <v>605</v>
      </c>
      <c r="C121" s="636" t="s">
        <v>865</v>
      </c>
      <c r="D121" s="384">
        <v>42</v>
      </c>
      <c r="E121" s="385" t="s">
        <v>570</v>
      </c>
      <c r="F121" s="15">
        <v>2</v>
      </c>
      <c r="G121" s="18">
        <v>5</v>
      </c>
      <c r="H121" s="17">
        <v>3</v>
      </c>
      <c r="I121" s="755">
        <v>2</v>
      </c>
      <c r="J121" s="324">
        <v>1</v>
      </c>
      <c r="K121" s="188">
        <v>2</v>
      </c>
      <c r="L121" s="871">
        <v>300</v>
      </c>
      <c r="M121" s="885">
        <v>15</v>
      </c>
      <c r="N121" s="106">
        <v>400</v>
      </c>
      <c r="O121" s="454">
        <v>0</v>
      </c>
      <c r="P121" s="531">
        <v>0</v>
      </c>
      <c r="Q121" s="340">
        <v>316</v>
      </c>
      <c r="R121" s="341">
        <v>190</v>
      </c>
      <c r="S121" s="358">
        <f t="shared" si="47"/>
        <v>308.8687499999999</v>
      </c>
      <c r="T121" s="342">
        <v>1270</v>
      </c>
      <c r="U121" s="343">
        <v>19400</v>
      </c>
      <c r="V121" s="344">
        <v>2500</v>
      </c>
      <c r="W121" s="289">
        <v>2.99</v>
      </c>
      <c r="X121" s="340">
        <v>316</v>
      </c>
      <c r="Y121" s="43">
        <v>50</v>
      </c>
      <c r="Z121" s="44">
        <v>10</v>
      </c>
      <c r="AA121" s="44">
        <v>25</v>
      </c>
      <c r="AB121" s="49">
        <v>55</v>
      </c>
      <c r="AC121" s="345">
        <v>528</v>
      </c>
      <c r="AD121" s="312">
        <v>625</v>
      </c>
      <c r="AE121" s="292">
        <f t="shared" si="46"/>
        <v>0.8448</v>
      </c>
      <c r="AF121" s="43">
        <v>0</v>
      </c>
      <c r="AG121" s="44">
        <v>50</v>
      </c>
      <c r="AH121" s="44">
        <v>40</v>
      </c>
      <c r="AI121" s="45">
        <v>30</v>
      </c>
      <c r="AJ121" s="5">
        <f t="shared" si="45"/>
        <v>1160</v>
      </c>
      <c r="AK121" s="103" t="str">
        <f t="shared" si="44"/>
        <v>S</v>
      </c>
      <c r="AL121" s="862">
        <v>218</v>
      </c>
      <c r="AM121" s="458">
        <v>187.5</v>
      </c>
      <c r="AN121" s="295">
        <f t="shared" si="37"/>
        <v>1.1626666666666667</v>
      </c>
      <c r="AO121" s="145">
        <v>50</v>
      </c>
      <c r="AP121" s="85" t="s">
        <v>1267</v>
      </c>
      <c r="AQ121" s="297">
        <v>405</v>
      </c>
      <c r="AR121" s="33">
        <v>0</v>
      </c>
      <c r="AS121" s="34">
        <v>24</v>
      </c>
      <c r="AT121" s="34">
        <v>0</v>
      </c>
      <c r="AU121" s="73">
        <v>0</v>
      </c>
      <c r="AV121" s="39">
        <v>50</v>
      </c>
      <c r="AW121" s="368">
        <v>306</v>
      </c>
      <c r="AX121" s="33">
        <v>0</v>
      </c>
      <c r="AY121" s="34">
        <v>5</v>
      </c>
      <c r="AZ121" s="34">
        <v>0</v>
      </c>
      <c r="BA121" s="84">
        <v>0</v>
      </c>
      <c r="BB121" s="586">
        <v>13.5</v>
      </c>
      <c r="BC121" s="590">
        <v>2.1645E-06</v>
      </c>
      <c r="BD121" s="588">
        <f t="shared" si="26"/>
        <v>49.56501019493145</v>
      </c>
      <c r="BE121" s="299"/>
      <c r="BF121" s="300"/>
      <c r="BG121" s="112"/>
      <c r="BH121" s="541"/>
      <c r="BI121" s="301"/>
      <c r="BJ121" s="346" t="s">
        <v>1401</v>
      </c>
      <c r="BK121" s="13" t="s">
        <v>1758</v>
      </c>
      <c r="BL121" s="303" t="s">
        <v>845</v>
      </c>
      <c r="BM121" s="86" t="s">
        <v>701</v>
      </c>
      <c r="BN121" s="303" t="s">
        <v>1080</v>
      </c>
      <c r="BO121" s="86"/>
      <c r="BP121" s="1" t="s">
        <v>259</v>
      </c>
      <c r="BQ121" t="s">
        <v>260</v>
      </c>
      <c r="BR121" s="1">
        <v>85</v>
      </c>
      <c r="BS121" s="21">
        <v>11192</v>
      </c>
      <c r="BT121" s="605"/>
      <c r="BU121" s="600">
        <v>3</v>
      </c>
      <c r="BV121" s="601">
        <v>0</v>
      </c>
      <c r="BW121" s="386">
        <f t="shared" si="42"/>
        <v>190</v>
      </c>
      <c r="BX121" s="329">
        <f>IF($F121&gt;0,$BW121*$D$208,"")</f>
        <v>242.24999999999997</v>
      </c>
      <c r="BY121" s="329">
        <f>IF($F121&gt;1,$BX121*$D$209,"")</f>
        <v>308.8687499999999</v>
      </c>
      <c r="BZ121" s="329">
        <f>IF($F121&gt;2,$BY121*$D$210,"")</f>
      </c>
      <c r="CA121" s="329">
        <f>IF($F121&gt;3,$BZ121*$D$211,"")</f>
      </c>
      <c r="CB121" s="329">
        <f>IF($F121&gt;4,$CA121*$D$212,"")</f>
      </c>
      <c r="CC121" s="329">
        <f>IF($F121&gt;5,$CB121*$D$213,"")</f>
      </c>
      <c r="CD121" s="329">
        <f>IF($F121&gt;6,$CC121*$D$214,"")</f>
      </c>
      <c r="CE121" s="485" t="s">
        <v>764</v>
      </c>
      <c r="CF121" s="854" t="s">
        <v>584</v>
      </c>
      <c r="CG121" s="440" t="s">
        <v>1661</v>
      </c>
      <c r="CH121" s="305">
        <v>2291676</v>
      </c>
      <c r="CI121" s="305">
        <f t="shared" si="39"/>
        <v>687502.7999999999</v>
      </c>
      <c r="CJ121" s="306">
        <f t="shared" si="40"/>
        <v>1604173.2000000002</v>
      </c>
      <c r="CK121" s="307" t="e">
        <f>CJ121-#REF!</f>
        <v>#REF!</v>
      </c>
      <c r="CL121" s="591">
        <v>2291676</v>
      </c>
      <c r="CM121" s="21">
        <f t="shared" si="27"/>
        <v>1</v>
      </c>
      <c r="CN121" s="21">
        <f t="shared" si="28"/>
        <v>3.3333333333333335</v>
      </c>
      <c r="CO121" s="54"/>
      <c r="CP121" s="622">
        <f t="shared" si="29"/>
        <v>140</v>
      </c>
      <c r="CQ121" s="623">
        <f t="shared" si="30"/>
        <v>120</v>
      </c>
      <c r="CR121" s="624" t="str">
        <f t="shared" si="31"/>
        <v>S</v>
      </c>
      <c r="CS121" s="634">
        <f t="shared" si="32"/>
        <v>306</v>
      </c>
      <c r="CT121" s="591">
        <f t="shared" si="43"/>
        <v>1270000</v>
      </c>
      <c r="CU121" s="591">
        <f t="shared" si="33"/>
        <v>382.5</v>
      </c>
      <c r="CV121" s="591">
        <v>1500</v>
      </c>
      <c r="CW121" s="54"/>
      <c r="CX121" s="54"/>
      <c r="CY121" s="54"/>
      <c r="CZ121" s="54"/>
      <c r="DA121" s="54">
        <v>1.6875</v>
      </c>
      <c r="DB121" s="54">
        <v>6.25</v>
      </c>
      <c r="DC121" s="649">
        <f t="shared" si="34"/>
        <v>3.7973000000000003</v>
      </c>
    </row>
    <row r="122" spans="1:107" ht="12.75">
      <c r="A122" s="24" t="s">
        <v>262</v>
      </c>
      <c r="B122" s="117" t="s">
        <v>1212</v>
      </c>
      <c r="C122" s="315" t="s">
        <v>1042</v>
      </c>
      <c r="D122" s="384">
        <v>42</v>
      </c>
      <c r="E122" s="385" t="s">
        <v>570</v>
      </c>
      <c r="F122" s="15">
        <v>3</v>
      </c>
      <c r="G122" s="18">
        <v>5</v>
      </c>
      <c r="H122" s="17">
        <v>2</v>
      </c>
      <c r="I122" s="323">
        <v>0</v>
      </c>
      <c r="J122" s="737">
        <v>2</v>
      </c>
      <c r="K122" s="188">
        <v>2</v>
      </c>
      <c r="L122" s="871">
        <v>290</v>
      </c>
      <c r="M122" s="885">
        <v>20</v>
      </c>
      <c r="N122" s="106">
        <v>400</v>
      </c>
      <c r="O122" s="454">
        <v>5</v>
      </c>
      <c r="P122" s="743">
        <v>5</v>
      </c>
      <c r="Q122" s="340">
        <v>809</v>
      </c>
      <c r="R122" s="341">
        <v>175</v>
      </c>
      <c r="S122" s="358">
        <f t="shared" si="47"/>
        <v>362.7175781249999</v>
      </c>
      <c r="T122" s="342">
        <v>1271</v>
      </c>
      <c r="U122" s="343">
        <v>23000</v>
      </c>
      <c r="V122" s="344">
        <v>2500</v>
      </c>
      <c r="W122" s="289">
        <v>3.05</v>
      </c>
      <c r="X122" s="340">
        <v>528</v>
      </c>
      <c r="Y122" s="43">
        <v>50</v>
      </c>
      <c r="Z122" s="44">
        <v>10</v>
      </c>
      <c r="AA122" s="44">
        <v>45</v>
      </c>
      <c r="AB122" s="49">
        <v>35</v>
      </c>
      <c r="AC122" s="345">
        <v>281</v>
      </c>
      <c r="AD122" s="312">
        <v>625</v>
      </c>
      <c r="AE122" s="292">
        <f t="shared" si="46"/>
        <v>0.4496</v>
      </c>
      <c r="AF122" s="43">
        <v>0</v>
      </c>
      <c r="AG122" s="44">
        <v>50</v>
      </c>
      <c r="AH122" s="44">
        <v>50</v>
      </c>
      <c r="AI122" s="45">
        <v>20</v>
      </c>
      <c r="AJ122" s="5">
        <f t="shared" si="45"/>
        <v>1618</v>
      </c>
      <c r="AK122" s="103" t="str">
        <f t="shared" si="44"/>
        <v>A</v>
      </c>
      <c r="AL122" s="862">
        <v>218</v>
      </c>
      <c r="AM122" s="458">
        <v>187.5</v>
      </c>
      <c r="AN122" s="295">
        <f t="shared" si="37"/>
        <v>1.1626666666666667</v>
      </c>
      <c r="AO122" s="145">
        <v>47</v>
      </c>
      <c r="AP122" s="85" t="s">
        <v>465</v>
      </c>
      <c r="AQ122" s="297">
        <v>390</v>
      </c>
      <c r="AR122" s="33">
        <v>0</v>
      </c>
      <c r="AS122" s="34">
        <v>0</v>
      </c>
      <c r="AT122" s="34">
        <v>22</v>
      </c>
      <c r="AU122" s="73">
        <v>0</v>
      </c>
      <c r="AV122" s="39">
        <v>49</v>
      </c>
      <c r="AW122" s="368">
        <v>320</v>
      </c>
      <c r="AX122" s="33">
        <v>0</v>
      </c>
      <c r="AY122" s="34">
        <v>0</v>
      </c>
      <c r="AZ122" s="34">
        <v>6</v>
      </c>
      <c r="BA122" s="84">
        <v>0</v>
      </c>
      <c r="BB122" s="586">
        <v>13.5</v>
      </c>
      <c r="BC122" s="590"/>
      <c r="BD122" s="588" t="e">
        <f t="shared" si="26"/>
        <v>#DIV/0!</v>
      </c>
      <c r="BE122" s="299"/>
      <c r="BF122" s="300"/>
      <c r="BG122" s="112"/>
      <c r="BH122" s="541"/>
      <c r="BI122" s="301"/>
      <c r="BJ122" s="346" t="s">
        <v>1401</v>
      </c>
      <c r="BK122" s="13" t="s">
        <v>1763</v>
      </c>
      <c r="BL122" s="303" t="s">
        <v>846</v>
      </c>
      <c r="BM122" s="86" t="s">
        <v>977</v>
      </c>
      <c r="BN122" s="303" t="s">
        <v>1082</v>
      </c>
      <c r="BO122" s="86"/>
      <c r="BP122" s="1" t="s">
        <v>978</v>
      </c>
      <c r="BR122" s="1">
        <v>78</v>
      </c>
      <c r="BS122" s="21">
        <v>11172</v>
      </c>
      <c r="BT122" s="605"/>
      <c r="BU122" s="600">
        <v>2.5</v>
      </c>
      <c r="BV122" s="601">
        <v>0.3</v>
      </c>
      <c r="BW122" s="386">
        <f t="shared" si="42"/>
        <v>175</v>
      </c>
      <c r="BX122" s="329">
        <f>IF($F122&gt;0,$BW122*$D$208,"")</f>
        <v>223.12499999999997</v>
      </c>
      <c r="BY122" s="329">
        <f>IF($F122&gt;1,$BX122*$D$209,"")</f>
        <v>284.48437499999994</v>
      </c>
      <c r="BZ122" s="329">
        <f>IF($F122&gt;2,$BY122*$D$210,"")</f>
        <v>362.7175781249999</v>
      </c>
      <c r="CA122" s="329">
        <f>IF($F122&gt;3,$BZ122*$D$211,"")</f>
      </c>
      <c r="CB122" s="329">
        <f>IF($F122&gt;4,$CA122*$D$212,"")</f>
      </c>
      <c r="CC122" s="329">
        <f>IF($F122&gt;5,$CB122*$D$213,"")</f>
      </c>
      <c r="CD122" s="329">
        <f>IF($F122&gt;6,$CC122*$D$214,"")</f>
      </c>
      <c r="CE122" s="485" t="s">
        <v>816</v>
      </c>
      <c r="CF122" s="854" t="s">
        <v>584</v>
      </c>
      <c r="CG122" s="440" t="s">
        <v>1662</v>
      </c>
      <c r="CH122" s="305">
        <v>2353068</v>
      </c>
      <c r="CI122" s="305">
        <f t="shared" si="39"/>
        <v>705920.4</v>
      </c>
      <c r="CJ122" s="306">
        <f t="shared" si="40"/>
        <v>1647147.6</v>
      </c>
      <c r="CK122" s="307" t="e">
        <f>CJ122-#REF!</f>
        <v>#REF!</v>
      </c>
      <c r="CL122" s="592">
        <v>2353068</v>
      </c>
      <c r="CM122" s="21">
        <f t="shared" si="27"/>
        <v>1</v>
      </c>
      <c r="CN122" s="21">
        <f t="shared" si="28"/>
        <v>3.333333333333333</v>
      </c>
      <c r="CO122" s="54"/>
      <c r="CP122" s="625">
        <f t="shared" si="29"/>
        <v>140</v>
      </c>
      <c r="CQ122" s="626">
        <f t="shared" si="30"/>
        <v>120</v>
      </c>
      <c r="CR122" s="624" t="str">
        <f t="shared" si="31"/>
        <v>A</v>
      </c>
      <c r="CS122" s="634">
        <f t="shared" si="32"/>
        <v>320</v>
      </c>
      <c r="CT122" s="591">
        <f t="shared" si="43"/>
        <v>1271000</v>
      </c>
      <c r="CU122" s="591">
        <f t="shared" si="33"/>
        <v>400</v>
      </c>
      <c r="CV122" s="591">
        <v>1500</v>
      </c>
      <c r="CW122" s="54"/>
      <c r="CX122" s="54"/>
      <c r="CY122" s="54"/>
      <c r="CZ122" s="54"/>
      <c r="DA122" s="54">
        <v>1.6875</v>
      </c>
      <c r="DB122" s="54">
        <v>6.25</v>
      </c>
      <c r="DC122" s="649">
        <f t="shared" si="34"/>
        <v>3.87655</v>
      </c>
    </row>
    <row r="123" spans="1:107" ht="12.75">
      <c r="A123" s="24" t="s">
        <v>980</v>
      </c>
      <c r="B123" s="117" t="s">
        <v>1227</v>
      </c>
      <c r="C123" s="319" t="s">
        <v>99</v>
      </c>
      <c r="D123" s="384">
        <v>42</v>
      </c>
      <c r="E123" s="385" t="s">
        <v>570</v>
      </c>
      <c r="F123" s="15">
        <v>3</v>
      </c>
      <c r="G123" s="18">
        <v>4</v>
      </c>
      <c r="H123" s="17">
        <v>3</v>
      </c>
      <c r="I123" s="323">
        <v>1</v>
      </c>
      <c r="J123" s="186">
        <v>2</v>
      </c>
      <c r="K123" s="188">
        <v>2</v>
      </c>
      <c r="L123" s="872">
        <v>275</v>
      </c>
      <c r="M123" s="885">
        <v>15</v>
      </c>
      <c r="N123" s="106">
        <v>400</v>
      </c>
      <c r="O123" s="454">
        <v>0</v>
      </c>
      <c r="P123" s="531">
        <v>0</v>
      </c>
      <c r="Q123" s="340">
        <v>528</v>
      </c>
      <c r="R123" s="341">
        <v>200</v>
      </c>
      <c r="S123" s="358">
        <f t="shared" si="47"/>
        <v>414.5343749999999</v>
      </c>
      <c r="T123" s="342">
        <v>1430</v>
      </c>
      <c r="U123" s="343">
        <v>17400</v>
      </c>
      <c r="V123" s="344">
        <v>2500</v>
      </c>
      <c r="W123" s="289">
        <v>2.64</v>
      </c>
      <c r="X123" s="340">
        <v>387</v>
      </c>
      <c r="Y123" s="43">
        <v>60</v>
      </c>
      <c r="Z123" s="44">
        <v>10</v>
      </c>
      <c r="AA123" s="44">
        <v>25</v>
      </c>
      <c r="AB123" s="49">
        <v>35</v>
      </c>
      <c r="AC123" s="345">
        <v>281</v>
      </c>
      <c r="AD123" s="312">
        <v>625</v>
      </c>
      <c r="AE123" s="292">
        <f t="shared" si="46"/>
        <v>0.4496</v>
      </c>
      <c r="AF123" s="43">
        <v>10</v>
      </c>
      <c r="AG123" s="44">
        <v>50</v>
      </c>
      <c r="AH123" s="44">
        <v>40</v>
      </c>
      <c r="AI123" s="45">
        <v>20</v>
      </c>
      <c r="AJ123" s="5">
        <f t="shared" si="45"/>
        <v>1196</v>
      </c>
      <c r="AK123" s="103" t="str">
        <f t="shared" si="44"/>
        <v>A</v>
      </c>
      <c r="AL123" s="862">
        <v>187</v>
      </c>
      <c r="AM123" s="458">
        <v>187.5</v>
      </c>
      <c r="AN123" s="295">
        <f t="shared" si="37"/>
        <v>0.9973333333333333</v>
      </c>
      <c r="AO123" s="145">
        <v>37</v>
      </c>
      <c r="AP123" s="85" t="s">
        <v>465</v>
      </c>
      <c r="AQ123" s="297">
        <v>450</v>
      </c>
      <c r="AR123" s="33">
        <v>0</v>
      </c>
      <c r="AS123" s="34">
        <v>0</v>
      </c>
      <c r="AT123" s="34">
        <v>0</v>
      </c>
      <c r="AU123" s="73">
        <v>20</v>
      </c>
      <c r="AV123" s="39">
        <v>46</v>
      </c>
      <c r="AW123" s="925">
        <v>381</v>
      </c>
      <c r="AX123" s="33">
        <v>0</v>
      </c>
      <c r="AY123" s="34">
        <v>0</v>
      </c>
      <c r="AZ123" s="34">
        <v>0</v>
      </c>
      <c r="BA123" s="84">
        <v>7</v>
      </c>
      <c r="BB123" s="586">
        <v>13.5</v>
      </c>
      <c r="BC123" s="590"/>
      <c r="BD123" s="588" t="e">
        <f t="shared" si="26"/>
        <v>#DIV/0!</v>
      </c>
      <c r="BE123" s="299"/>
      <c r="BF123" s="300"/>
      <c r="BG123" s="112"/>
      <c r="BH123" s="541"/>
      <c r="BI123" s="301"/>
      <c r="BJ123" s="346" t="s">
        <v>1401</v>
      </c>
      <c r="BK123" s="13" t="s">
        <v>600</v>
      </c>
      <c r="BL123" s="303" t="s">
        <v>1112</v>
      </c>
      <c r="BM123" s="86" t="s">
        <v>29</v>
      </c>
      <c r="BN123" s="303" t="s">
        <v>1230</v>
      </c>
      <c r="BO123" s="86"/>
      <c r="BP123" s="1" t="s">
        <v>30</v>
      </c>
      <c r="BR123" s="1">
        <v>65</v>
      </c>
      <c r="BS123" s="21">
        <v>11182</v>
      </c>
      <c r="BT123" s="605"/>
      <c r="BU123" s="600">
        <v>2.5</v>
      </c>
      <c r="BV123" s="601">
        <v>0</v>
      </c>
      <c r="BW123" s="386">
        <f t="shared" si="42"/>
        <v>200</v>
      </c>
      <c r="BX123" s="329">
        <f>IF($F123&gt;0,$BW123*$D$208,"")</f>
        <v>254.99999999999997</v>
      </c>
      <c r="BY123" s="329">
        <f>IF($F123&gt;1,$BX123*$D$209,"")</f>
        <v>325.12499999999994</v>
      </c>
      <c r="BZ123" s="329">
        <f>IF($F123&gt;2,$BY123*$D$210,"")</f>
        <v>414.5343749999999</v>
      </c>
      <c r="CA123" s="329">
        <f>IF($F123&gt;3,$BZ123*$D$211,"")</f>
      </c>
      <c r="CB123" s="329">
        <f>IF($F123&gt;4,$CA123*$D$212,"")</f>
      </c>
      <c r="CC123" s="329">
        <f>IF($F123&gt;5,$CB123*$D$213,"")</f>
      </c>
      <c r="CD123" s="329">
        <f>IF($F123&gt;6,$CC123*$D$214,"")</f>
      </c>
      <c r="CE123" s="485" t="s">
        <v>699</v>
      </c>
      <c r="CF123" s="854" t="s">
        <v>584</v>
      </c>
      <c r="CG123" s="440" t="s">
        <v>1663</v>
      </c>
      <c r="CH123" s="305">
        <v>2316560</v>
      </c>
      <c r="CI123" s="305">
        <f t="shared" si="39"/>
        <v>694968</v>
      </c>
      <c r="CJ123" s="306">
        <f t="shared" si="40"/>
        <v>1621592</v>
      </c>
      <c r="CK123" s="307" t="e">
        <f>CJ123-#REF!</f>
        <v>#REF!</v>
      </c>
      <c r="CL123" s="592">
        <v>2316560</v>
      </c>
      <c r="CM123" s="21">
        <f t="shared" si="27"/>
        <v>1</v>
      </c>
      <c r="CN123" s="21">
        <f t="shared" si="28"/>
        <v>3.3333333333333335</v>
      </c>
      <c r="CO123" s="54"/>
      <c r="CP123" s="625">
        <f t="shared" si="29"/>
        <v>130</v>
      </c>
      <c r="CQ123" s="626">
        <f t="shared" si="30"/>
        <v>120</v>
      </c>
      <c r="CR123" s="624" t="str">
        <f t="shared" si="31"/>
        <v>A</v>
      </c>
      <c r="CS123" s="634">
        <f t="shared" si="32"/>
        <v>381</v>
      </c>
      <c r="CT123" s="591">
        <f t="shared" si="43"/>
        <v>1430000</v>
      </c>
      <c r="CU123" s="591">
        <f t="shared" si="33"/>
        <v>476.25</v>
      </c>
      <c r="CV123" s="591">
        <v>1500</v>
      </c>
      <c r="CW123" s="54"/>
      <c r="CX123" s="54"/>
      <c r="CY123" s="54"/>
      <c r="CZ123" s="54"/>
      <c r="DA123" s="54">
        <v>1.6875</v>
      </c>
      <c r="DB123" s="54">
        <v>6.25</v>
      </c>
      <c r="DC123" s="649">
        <f t="shared" si="34"/>
        <v>3.7752000000000003</v>
      </c>
    </row>
    <row r="124" spans="1:107" ht="12.75">
      <c r="A124" s="387" t="s">
        <v>32</v>
      </c>
      <c r="B124" s="117" t="s">
        <v>1298</v>
      </c>
      <c r="C124" s="308" t="s">
        <v>827</v>
      </c>
      <c r="D124" s="384">
        <v>41</v>
      </c>
      <c r="E124" s="385" t="s">
        <v>206</v>
      </c>
      <c r="F124" s="15">
        <v>4</v>
      </c>
      <c r="G124" s="18">
        <v>2</v>
      </c>
      <c r="H124" s="17">
        <v>4</v>
      </c>
      <c r="I124" s="16">
        <v>0</v>
      </c>
      <c r="J124" s="738">
        <v>4</v>
      </c>
      <c r="K124" s="188">
        <v>2</v>
      </c>
      <c r="L124" s="868">
        <v>100</v>
      </c>
      <c r="M124" s="885">
        <v>40</v>
      </c>
      <c r="N124" s="106">
        <v>400</v>
      </c>
      <c r="O124" s="454">
        <v>0</v>
      </c>
      <c r="P124" s="531">
        <v>0</v>
      </c>
      <c r="Q124" s="340">
        <v>597</v>
      </c>
      <c r="R124" s="341">
        <v>135</v>
      </c>
      <c r="S124" s="358">
        <f t="shared" si="47"/>
        <v>356.75864648437494</v>
      </c>
      <c r="T124" s="342">
        <v>1050</v>
      </c>
      <c r="U124" s="343">
        <v>28100</v>
      </c>
      <c r="V124" s="344">
        <v>2500</v>
      </c>
      <c r="W124" s="289">
        <v>2.17</v>
      </c>
      <c r="X124" s="340">
        <v>597</v>
      </c>
      <c r="Y124" s="43">
        <v>50</v>
      </c>
      <c r="Z124" s="44">
        <v>30</v>
      </c>
      <c r="AA124" s="44">
        <v>25</v>
      </c>
      <c r="AB124" s="49">
        <v>35</v>
      </c>
      <c r="AC124" s="345">
        <v>246</v>
      </c>
      <c r="AD124" s="312">
        <v>625</v>
      </c>
      <c r="AE124" s="292">
        <f t="shared" si="46"/>
        <v>0.3936</v>
      </c>
      <c r="AF124" s="43">
        <v>0</v>
      </c>
      <c r="AG124" s="44">
        <v>60</v>
      </c>
      <c r="AH124" s="44">
        <v>40</v>
      </c>
      <c r="AI124" s="45">
        <v>20</v>
      </c>
      <c r="AJ124" s="5">
        <f t="shared" si="45"/>
        <v>1440</v>
      </c>
      <c r="AK124" s="103" t="str">
        <f t="shared" si="44"/>
        <v>A</v>
      </c>
      <c r="AL124" s="862">
        <v>375</v>
      </c>
      <c r="AM124" s="458">
        <v>281.25</v>
      </c>
      <c r="AN124" s="295">
        <f t="shared" si="37"/>
        <v>1.3333333333333333</v>
      </c>
      <c r="AO124" s="145">
        <v>20</v>
      </c>
      <c r="AP124" s="85" t="s">
        <v>463</v>
      </c>
      <c r="AQ124" s="297">
        <v>975</v>
      </c>
      <c r="AR124" s="33">
        <v>9</v>
      </c>
      <c r="AS124" s="34">
        <v>0</v>
      </c>
      <c r="AT124" s="34">
        <v>0</v>
      </c>
      <c r="AU124" s="73">
        <v>0</v>
      </c>
      <c r="AV124" s="827">
        <v>32</v>
      </c>
      <c r="AW124" s="143">
        <v>455</v>
      </c>
      <c r="AX124" s="33">
        <v>5</v>
      </c>
      <c r="AY124" s="34">
        <v>0</v>
      </c>
      <c r="AZ124" s="34">
        <v>0</v>
      </c>
      <c r="BA124" s="84">
        <v>0</v>
      </c>
      <c r="BB124" s="586">
        <v>9</v>
      </c>
      <c r="BC124" s="590">
        <v>1.67E-06</v>
      </c>
      <c r="BD124" s="588">
        <f t="shared" si="26"/>
        <v>133.66124893071</v>
      </c>
      <c r="BE124" s="299"/>
      <c r="BF124" s="300"/>
      <c r="BG124" s="112"/>
      <c r="BH124" s="541"/>
      <c r="BI124" s="301">
        <v>1</v>
      </c>
      <c r="BJ124" s="346" t="s">
        <v>1401</v>
      </c>
      <c r="BK124" s="13" t="s">
        <v>206</v>
      </c>
      <c r="BL124" s="303" t="s">
        <v>1349</v>
      </c>
      <c r="BM124" s="86" t="s">
        <v>1789</v>
      </c>
      <c r="BN124" s="303" t="s">
        <v>1079</v>
      </c>
      <c r="BO124" s="86"/>
      <c r="BP124" s="1" t="s">
        <v>784</v>
      </c>
      <c r="BR124" s="1">
        <v>60</v>
      </c>
      <c r="BS124" s="21">
        <v>11184</v>
      </c>
      <c r="BT124" s="606"/>
      <c r="BU124" s="601">
        <v>5</v>
      </c>
      <c r="BV124" s="601">
        <v>0</v>
      </c>
      <c r="BW124" s="386">
        <f t="shared" si="42"/>
        <v>135</v>
      </c>
      <c r="BX124" s="329">
        <f>IF($F124&gt;0,$BW124*$D$208,"")</f>
        <v>172.125</v>
      </c>
      <c r="BY124" s="329">
        <f>IF($F124&gt;1,$BX124*$D$209,"")</f>
        <v>219.459375</v>
      </c>
      <c r="BZ124" s="329">
        <f>IF($F124&gt;2,$BY124*$D$210,"")</f>
        <v>279.810703125</v>
      </c>
      <c r="CA124" s="329">
        <f>IF($F124&gt;3,$BZ124*$D$211,"")</f>
        <v>356.75864648437494</v>
      </c>
      <c r="CB124" s="329">
        <f>IF($F124&gt;4,$CA124*$D$212,"")</f>
      </c>
      <c r="CC124" s="329">
        <f>IF($F124&gt;5,$CB124*$D$213,"")</f>
      </c>
      <c r="CD124" s="329">
        <f>IF($F124&gt;6,$CC124*$D$214,"")</f>
      </c>
      <c r="CE124" s="485" t="s">
        <v>1331</v>
      </c>
      <c r="CF124" s="855" t="s">
        <v>920</v>
      </c>
      <c r="CG124" s="440" t="s">
        <v>1664</v>
      </c>
      <c r="CH124" s="305">
        <v>2070216</v>
      </c>
      <c r="CI124" s="305">
        <f t="shared" si="39"/>
        <v>621064.7999999999</v>
      </c>
      <c r="CJ124" s="306">
        <f t="shared" si="40"/>
        <v>1449151.2000000002</v>
      </c>
      <c r="CK124" s="307" t="e">
        <f>CJ124-#REF!</f>
        <v>#REF!</v>
      </c>
      <c r="CL124" s="592">
        <v>2070216</v>
      </c>
      <c r="CM124" s="21">
        <f t="shared" si="27"/>
        <v>1</v>
      </c>
      <c r="CN124" s="21">
        <f t="shared" si="28"/>
        <v>3.333333333333334</v>
      </c>
      <c r="CO124" s="54"/>
      <c r="CP124" s="625">
        <f t="shared" si="29"/>
        <v>140</v>
      </c>
      <c r="CQ124" s="626">
        <f t="shared" si="30"/>
        <v>120</v>
      </c>
      <c r="CR124" s="624" t="str">
        <f t="shared" si="31"/>
        <v>A</v>
      </c>
      <c r="CS124" s="634">
        <f t="shared" si="32"/>
        <v>455</v>
      </c>
      <c r="CT124" s="591">
        <f t="shared" si="43"/>
        <v>1050000</v>
      </c>
      <c r="CU124" s="591">
        <f>CS124*1.25</f>
        <v>568.75</v>
      </c>
      <c r="CV124" s="591">
        <v>1500</v>
      </c>
      <c r="CW124" s="54"/>
      <c r="CX124" s="54">
        <v>1460</v>
      </c>
      <c r="CY124" s="54"/>
      <c r="CZ124" s="54">
        <v>3871</v>
      </c>
      <c r="DA124" s="54">
        <v>1.6875</v>
      </c>
      <c r="DB124" s="54">
        <v>6.25</v>
      </c>
      <c r="DC124" s="649">
        <f t="shared" si="34"/>
        <v>2.2785</v>
      </c>
    </row>
    <row r="125" spans="1:107" ht="12.75">
      <c r="A125" s="24" t="s">
        <v>1791</v>
      </c>
      <c r="B125" s="117" t="s">
        <v>1298</v>
      </c>
      <c r="C125" s="308" t="s">
        <v>827</v>
      </c>
      <c r="D125" s="384">
        <v>41</v>
      </c>
      <c r="E125" s="385" t="s">
        <v>206</v>
      </c>
      <c r="F125" s="15">
        <v>3</v>
      </c>
      <c r="G125" s="18">
        <v>3</v>
      </c>
      <c r="H125" s="17">
        <v>4</v>
      </c>
      <c r="I125" s="754">
        <v>3</v>
      </c>
      <c r="J125" s="324">
        <v>3</v>
      </c>
      <c r="K125" s="188">
        <v>2</v>
      </c>
      <c r="L125" s="868">
        <v>135</v>
      </c>
      <c r="M125" s="885">
        <v>35</v>
      </c>
      <c r="N125" s="106">
        <v>400</v>
      </c>
      <c r="O125" s="454">
        <v>0</v>
      </c>
      <c r="P125" s="531">
        <v>0</v>
      </c>
      <c r="Q125" s="340">
        <v>457</v>
      </c>
      <c r="R125" s="341">
        <v>135</v>
      </c>
      <c r="S125" s="358">
        <f t="shared" si="47"/>
        <v>279.810703125</v>
      </c>
      <c r="T125" s="342">
        <v>999</v>
      </c>
      <c r="U125" s="343">
        <v>28100</v>
      </c>
      <c r="V125" s="344">
        <v>2500</v>
      </c>
      <c r="W125" s="289">
        <v>2.17</v>
      </c>
      <c r="X125" s="340">
        <v>457</v>
      </c>
      <c r="Y125" s="729">
        <v>50</v>
      </c>
      <c r="Z125" s="730">
        <v>30</v>
      </c>
      <c r="AA125" s="730">
        <v>25</v>
      </c>
      <c r="AB125" s="731">
        <v>35</v>
      </c>
      <c r="AC125" s="345">
        <v>422</v>
      </c>
      <c r="AD125" s="312">
        <v>625</v>
      </c>
      <c r="AE125" s="292">
        <f t="shared" si="46"/>
        <v>0.6752</v>
      </c>
      <c r="AF125" s="43">
        <v>0</v>
      </c>
      <c r="AG125" s="44">
        <v>60</v>
      </c>
      <c r="AH125" s="44">
        <v>40</v>
      </c>
      <c r="AI125" s="45">
        <v>20</v>
      </c>
      <c r="AJ125" s="5">
        <f t="shared" si="45"/>
        <v>1336</v>
      </c>
      <c r="AK125" s="331" t="s">
        <v>1393</v>
      </c>
      <c r="AL125" s="862">
        <v>343</v>
      </c>
      <c r="AM125" s="458">
        <v>257.81</v>
      </c>
      <c r="AN125" s="295">
        <f t="shared" si="37"/>
        <v>1.3304371436329079</v>
      </c>
      <c r="AO125" s="145">
        <v>22</v>
      </c>
      <c r="AP125" s="85" t="s">
        <v>463</v>
      </c>
      <c r="AQ125" s="297">
        <v>900</v>
      </c>
      <c r="AR125" s="33">
        <v>12</v>
      </c>
      <c r="AS125" s="34">
        <v>0</v>
      </c>
      <c r="AT125" s="34">
        <v>0</v>
      </c>
      <c r="AU125" s="73">
        <v>0</v>
      </c>
      <c r="AV125" s="828">
        <v>33</v>
      </c>
      <c r="AW125" s="143">
        <v>435</v>
      </c>
      <c r="AX125" s="33">
        <v>5</v>
      </c>
      <c r="AY125" s="34">
        <v>0</v>
      </c>
      <c r="AZ125" s="34">
        <v>0</v>
      </c>
      <c r="BA125" s="84">
        <v>0</v>
      </c>
      <c r="BB125" s="586">
        <v>13.5</v>
      </c>
      <c r="BC125" s="590">
        <v>1.67E-06</v>
      </c>
      <c r="BD125" s="588">
        <f t="shared" si="26"/>
        <v>128.49676023328718</v>
      </c>
      <c r="BE125" s="299"/>
      <c r="BF125" s="300"/>
      <c r="BG125" s="112"/>
      <c r="BH125" s="541"/>
      <c r="BI125" s="301">
        <v>2</v>
      </c>
      <c r="BJ125" s="346" t="s">
        <v>1401</v>
      </c>
      <c r="BK125" s="13" t="s">
        <v>1754</v>
      </c>
      <c r="BL125" s="303" t="s">
        <v>1089</v>
      </c>
      <c r="BM125" s="86" t="s">
        <v>1292</v>
      </c>
      <c r="BN125" s="303" t="s">
        <v>1174</v>
      </c>
      <c r="BO125" s="86"/>
      <c r="BP125" s="1" t="s">
        <v>786</v>
      </c>
      <c r="BR125" s="1">
        <v>26</v>
      </c>
      <c r="BS125" s="21">
        <v>11186</v>
      </c>
      <c r="BT125" s="605"/>
      <c r="BU125" s="600">
        <v>3.75</v>
      </c>
      <c r="BV125" s="601">
        <v>0</v>
      </c>
      <c r="BW125" s="386">
        <f t="shared" si="42"/>
        <v>135</v>
      </c>
      <c r="BX125" s="329">
        <f>IF($F125&gt;0,$BW125*$D$208,"")</f>
        <v>172.125</v>
      </c>
      <c r="BY125" s="329">
        <f>IF($F125&gt;1,$BX125*$D$209,"")</f>
        <v>219.459375</v>
      </c>
      <c r="BZ125" s="329">
        <f>IF($F125&gt;2,$BY125*$D$210,"")</f>
        <v>279.810703125</v>
      </c>
      <c r="CA125" s="329">
        <f>IF($F125&gt;3,$BZ125*$D$211,"")</f>
      </c>
      <c r="CB125" s="329">
        <f>IF($F125&gt;4,$CA125*$D$212,"")</f>
      </c>
      <c r="CC125" s="329">
        <f>IF($F125&gt;5,$CB125*$D$213,"")</f>
      </c>
      <c r="CD125" s="329">
        <f>IF($F125&gt;6,$CC125*$D$214,"")</f>
      </c>
      <c r="CE125" s="485" t="s">
        <v>378</v>
      </c>
      <c r="CF125" s="855" t="s">
        <v>920</v>
      </c>
      <c r="CG125" s="440" t="s">
        <v>1665</v>
      </c>
      <c r="CH125" s="305">
        <v>2080264</v>
      </c>
      <c r="CI125" s="305">
        <f t="shared" si="39"/>
        <v>624079.2</v>
      </c>
      <c r="CJ125" s="306">
        <f t="shared" si="40"/>
        <v>1456184.8</v>
      </c>
      <c r="CK125" s="307" t="e">
        <f>CJ125-#REF!</f>
        <v>#REF!</v>
      </c>
      <c r="CL125" s="591">
        <v>2080264</v>
      </c>
      <c r="CM125" s="21">
        <f t="shared" si="27"/>
        <v>1</v>
      </c>
      <c r="CN125" s="21">
        <f t="shared" si="28"/>
        <v>3.3333333333333335</v>
      </c>
      <c r="CO125" s="54"/>
      <c r="CP125" s="625">
        <f t="shared" si="29"/>
        <v>140</v>
      </c>
      <c r="CQ125" s="626">
        <f t="shared" si="30"/>
        <v>120</v>
      </c>
      <c r="CR125" s="624" t="str">
        <f t="shared" si="31"/>
        <v>A</v>
      </c>
      <c r="CS125" s="634">
        <f t="shared" si="32"/>
        <v>435</v>
      </c>
      <c r="CT125" s="591">
        <f t="shared" si="43"/>
        <v>999000</v>
      </c>
      <c r="CU125" s="591">
        <f aca="true" t="shared" si="48" ref="CU125:CU172">CS125*1.25</f>
        <v>543.75</v>
      </c>
      <c r="CV125" s="591">
        <v>1500</v>
      </c>
      <c r="CW125" s="54"/>
      <c r="CX125" s="54"/>
      <c r="CY125" s="54"/>
      <c r="CZ125" s="54"/>
      <c r="DA125" s="54">
        <v>1.6875</v>
      </c>
      <c r="DB125" s="54">
        <v>6.25</v>
      </c>
      <c r="DC125" s="649">
        <f t="shared" si="34"/>
        <v>2.16783</v>
      </c>
    </row>
    <row r="126" spans="1:107" ht="12.75">
      <c r="A126" s="24" t="s">
        <v>624</v>
      </c>
      <c r="B126" s="117" t="s">
        <v>41</v>
      </c>
      <c r="C126" s="636" t="s">
        <v>865</v>
      </c>
      <c r="D126" s="384">
        <v>41</v>
      </c>
      <c r="E126" s="385" t="s">
        <v>206</v>
      </c>
      <c r="F126" s="15">
        <v>3</v>
      </c>
      <c r="G126" s="18">
        <v>3</v>
      </c>
      <c r="H126" s="17">
        <v>4</v>
      </c>
      <c r="I126" s="755">
        <v>3</v>
      </c>
      <c r="J126" s="187">
        <v>2</v>
      </c>
      <c r="K126" s="188">
        <v>2</v>
      </c>
      <c r="L126" s="868">
        <v>150</v>
      </c>
      <c r="M126" s="885">
        <v>35</v>
      </c>
      <c r="N126" s="106">
        <v>400</v>
      </c>
      <c r="O126" s="454">
        <v>0</v>
      </c>
      <c r="P126" s="531">
        <v>0</v>
      </c>
      <c r="Q126" s="340">
        <v>352</v>
      </c>
      <c r="R126" s="341">
        <v>150</v>
      </c>
      <c r="S126" s="358">
        <f t="shared" si="47"/>
        <v>310.90078124999997</v>
      </c>
      <c r="T126" s="342">
        <v>999</v>
      </c>
      <c r="U126" s="343">
        <v>18000</v>
      </c>
      <c r="V126" s="344">
        <v>2500</v>
      </c>
      <c r="W126" s="289">
        <v>2.17</v>
      </c>
      <c r="X126" s="340">
        <v>246</v>
      </c>
      <c r="Y126" s="43">
        <v>50</v>
      </c>
      <c r="Z126" s="44">
        <v>10</v>
      </c>
      <c r="AA126" s="44">
        <v>25</v>
      </c>
      <c r="AB126" s="49">
        <v>35</v>
      </c>
      <c r="AC126" s="345">
        <v>528</v>
      </c>
      <c r="AD126" s="312">
        <v>625</v>
      </c>
      <c r="AE126" s="292">
        <f t="shared" si="46"/>
        <v>0.8448</v>
      </c>
      <c r="AF126" s="43">
        <v>0</v>
      </c>
      <c r="AG126" s="44">
        <v>50</v>
      </c>
      <c r="AH126" s="44">
        <v>40</v>
      </c>
      <c r="AI126" s="45">
        <v>30</v>
      </c>
      <c r="AJ126" s="5">
        <f t="shared" si="45"/>
        <v>1126</v>
      </c>
      <c r="AK126" s="103" t="str">
        <f t="shared" si="44"/>
        <v>S</v>
      </c>
      <c r="AL126" s="862">
        <v>312</v>
      </c>
      <c r="AM126" s="458">
        <v>234.38</v>
      </c>
      <c r="AN126" s="295">
        <f t="shared" si="37"/>
        <v>1.3311716016724977</v>
      </c>
      <c r="AO126" s="145">
        <v>30</v>
      </c>
      <c r="AP126" s="85" t="s">
        <v>463</v>
      </c>
      <c r="AQ126" s="297">
        <v>860</v>
      </c>
      <c r="AR126" s="33">
        <v>0</v>
      </c>
      <c r="AS126" s="34">
        <v>12</v>
      </c>
      <c r="AT126" s="34">
        <v>0</v>
      </c>
      <c r="AU126" s="73">
        <v>0</v>
      </c>
      <c r="AV126" s="828">
        <v>36</v>
      </c>
      <c r="AW126" s="143">
        <v>425</v>
      </c>
      <c r="AX126" s="33">
        <v>0</v>
      </c>
      <c r="AY126" s="34">
        <v>4</v>
      </c>
      <c r="AZ126" s="34">
        <v>0</v>
      </c>
      <c r="BA126" s="84">
        <v>0</v>
      </c>
      <c r="BB126" s="586">
        <v>9</v>
      </c>
      <c r="BC126" s="590">
        <v>2.68E-06</v>
      </c>
      <c r="BD126" s="588">
        <f t="shared" si="26"/>
        <v>72.83402805790864</v>
      </c>
      <c r="BE126" s="299"/>
      <c r="BF126" s="300"/>
      <c r="BG126" s="112"/>
      <c r="BH126" s="541"/>
      <c r="BI126" s="301">
        <v>1</v>
      </c>
      <c r="BJ126" s="346" t="s">
        <v>1401</v>
      </c>
      <c r="BK126" s="13" t="s">
        <v>1754</v>
      </c>
      <c r="BL126" s="303" t="s">
        <v>1090</v>
      </c>
      <c r="BM126" s="86" t="s">
        <v>943</v>
      </c>
      <c r="BN126" s="303" t="s">
        <v>1232</v>
      </c>
      <c r="BO126" s="86"/>
      <c r="BP126" s="1" t="s">
        <v>1718</v>
      </c>
      <c r="BR126" s="1">
        <v>66</v>
      </c>
      <c r="BS126" s="21">
        <v>11176</v>
      </c>
      <c r="BT126" s="605"/>
      <c r="BU126" s="600">
        <v>4.5</v>
      </c>
      <c r="BV126" s="601">
        <v>0</v>
      </c>
      <c r="BW126" s="386">
        <f t="shared" si="42"/>
        <v>150</v>
      </c>
      <c r="BX126" s="329">
        <f>IF($F126&gt;0,$BW126*$D$208,"")</f>
        <v>191.25</v>
      </c>
      <c r="BY126" s="329">
        <f>IF($F126&gt;1,$BX126*$D$209,"")</f>
        <v>243.84374999999997</v>
      </c>
      <c r="BZ126" s="329">
        <f>IF($F126&gt;2,$BY126*$D$210,"")</f>
        <v>310.90078124999997</v>
      </c>
      <c r="CA126" s="329">
        <f>IF($F126&gt;3,$BZ126*$D$211,"")</f>
      </c>
      <c r="CB126" s="329">
        <f>IF($F126&gt;4,$CA126*$D$212,"")</f>
      </c>
      <c r="CC126" s="329">
        <f>IF($F126&gt;5,$CB126*$D$213,"")</f>
      </c>
      <c r="CD126" s="329">
        <f>IF($F126&gt;6,$CC126*$D$214,"")</f>
      </c>
      <c r="CE126" s="485" t="s">
        <v>1370</v>
      </c>
      <c r="CF126" s="855" t="s">
        <v>920</v>
      </c>
      <c r="CG126" s="440" t="s">
        <v>1666</v>
      </c>
      <c r="CH126" s="305">
        <v>2065190</v>
      </c>
      <c r="CI126" s="305">
        <f t="shared" si="39"/>
        <v>619557</v>
      </c>
      <c r="CJ126" s="306">
        <f t="shared" si="40"/>
        <v>1445633</v>
      </c>
      <c r="CK126" s="307" t="e">
        <f>CJ126-#REF!</f>
        <v>#REF!</v>
      </c>
      <c r="CL126" s="592">
        <v>2065190</v>
      </c>
      <c r="CM126" s="21">
        <f t="shared" si="27"/>
        <v>1</v>
      </c>
      <c r="CN126" s="21">
        <f t="shared" si="28"/>
        <v>3.3333333333333335</v>
      </c>
      <c r="CO126" s="54"/>
      <c r="CP126" s="622">
        <f t="shared" si="29"/>
        <v>120</v>
      </c>
      <c r="CQ126" s="627">
        <f t="shared" si="30"/>
        <v>120</v>
      </c>
      <c r="CR126" s="624" t="str">
        <f t="shared" si="31"/>
        <v>S</v>
      </c>
      <c r="CS126" s="634">
        <f t="shared" si="32"/>
        <v>425</v>
      </c>
      <c r="CT126" s="591">
        <f t="shared" si="43"/>
        <v>999000</v>
      </c>
      <c r="CU126" s="591">
        <f t="shared" si="48"/>
        <v>531.25</v>
      </c>
      <c r="CV126" s="591">
        <v>1500</v>
      </c>
      <c r="CW126" s="54"/>
      <c r="CX126" s="54"/>
      <c r="CY126" s="54"/>
      <c r="CZ126" s="54"/>
      <c r="DA126" s="54">
        <v>1.6875</v>
      </c>
      <c r="DB126" s="54">
        <v>6.25</v>
      </c>
      <c r="DC126" s="649">
        <f t="shared" si="34"/>
        <v>2.16783</v>
      </c>
    </row>
    <row r="127" spans="1:107" ht="12.75">
      <c r="A127" s="24" t="s">
        <v>945</v>
      </c>
      <c r="B127" s="117" t="s">
        <v>41</v>
      </c>
      <c r="C127" s="636" t="s">
        <v>865</v>
      </c>
      <c r="D127" s="384">
        <v>41</v>
      </c>
      <c r="E127" s="385" t="s">
        <v>206</v>
      </c>
      <c r="F127" s="15">
        <v>3</v>
      </c>
      <c r="G127" s="18">
        <v>3</v>
      </c>
      <c r="H127" s="17">
        <v>4</v>
      </c>
      <c r="I127" s="323">
        <v>2</v>
      </c>
      <c r="J127" s="737">
        <v>3</v>
      </c>
      <c r="K127" s="188">
        <v>2</v>
      </c>
      <c r="L127" s="868">
        <v>150</v>
      </c>
      <c r="M127" s="885">
        <v>26</v>
      </c>
      <c r="N127" s="106">
        <v>400</v>
      </c>
      <c r="O127" s="454">
        <v>0</v>
      </c>
      <c r="P127" s="531">
        <v>0</v>
      </c>
      <c r="Q127" s="340">
        <v>422</v>
      </c>
      <c r="R127" s="341">
        <v>150</v>
      </c>
      <c r="S127" s="358">
        <f t="shared" si="47"/>
        <v>310.90078124999997</v>
      </c>
      <c r="T127" s="342">
        <v>1075</v>
      </c>
      <c r="U127" s="343">
        <v>18000</v>
      </c>
      <c r="V127" s="344">
        <v>2500</v>
      </c>
      <c r="W127" s="289">
        <v>2.17</v>
      </c>
      <c r="X127" s="340">
        <v>316</v>
      </c>
      <c r="Y127" s="43">
        <v>50</v>
      </c>
      <c r="Z127" s="44">
        <v>10</v>
      </c>
      <c r="AA127" s="44">
        <v>25</v>
      </c>
      <c r="AB127" s="49">
        <v>55</v>
      </c>
      <c r="AC127" s="345">
        <v>493</v>
      </c>
      <c r="AD127" s="312">
        <v>625</v>
      </c>
      <c r="AE127" s="292">
        <f t="shared" si="46"/>
        <v>0.7888</v>
      </c>
      <c r="AF127" s="43">
        <v>0</v>
      </c>
      <c r="AG127" s="44">
        <v>50</v>
      </c>
      <c r="AH127" s="44">
        <v>40</v>
      </c>
      <c r="AI127" s="45">
        <v>30</v>
      </c>
      <c r="AJ127" s="5">
        <f t="shared" si="45"/>
        <v>1231</v>
      </c>
      <c r="AK127" s="103" t="str">
        <f t="shared" si="44"/>
        <v>S</v>
      </c>
      <c r="AL127" s="862">
        <v>281</v>
      </c>
      <c r="AM127" s="458">
        <v>210.94</v>
      </c>
      <c r="AN127" s="295">
        <f t="shared" si="37"/>
        <v>1.3321323599127715</v>
      </c>
      <c r="AO127" s="145">
        <v>25</v>
      </c>
      <c r="AP127" s="85" t="s">
        <v>463</v>
      </c>
      <c r="AQ127" s="297">
        <v>940</v>
      </c>
      <c r="AR127" s="33">
        <v>0</v>
      </c>
      <c r="AS127" s="34">
        <v>14</v>
      </c>
      <c r="AT127" s="34">
        <v>0</v>
      </c>
      <c r="AU127" s="73">
        <v>0</v>
      </c>
      <c r="AV127" s="828">
        <v>34</v>
      </c>
      <c r="AW127" s="143">
        <v>415</v>
      </c>
      <c r="AX127" s="33">
        <v>0</v>
      </c>
      <c r="AY127" s="34">
        <v>4</v>
      </c>
      <c r="AZ127" s="34">
        <v>0</v>
      </c>
      <c r="BA127" s="84">
        <v>0</v>
      </c>
      <c r="BB127" s="586">
        <v>13.5</v>
      </c>
      <c r="BC127" s="590">
        <v>2.68E-06</v>
      </c>
      <c r="BD127" s="588">
        <f t="shared" si="26"/>
        <v>60.95973620270739</v>
      </c>
      <c r="BE127" s="299"/>
      <c r="BF127" s="300"/>
      <c r="BG127" s="112"/>
      <c r="BH127" s="541"/>
      <c r="BI127" s="301">
        <v>2</v>
      </c>
      <c r="BJ127" s="346" t="s">
        <v>1401</v>
      </c>
      <c r="BK127" s="13" t="s">
        <v>206</v>
      </c>
      <c r="BL127" s="303" t="s">
        <v>1389</v>
      </c>
      <c r="BM127" s="86" t="s">
        <v>862</v>
      </c>
      <c r="BN127" s="303" t="s">
        <v>1229</v>
      </c>
      <c r="BO127" s="86"/>
      <c r="BP127" s="1" t="s">
        <v>298</v>
      </c>
      <c r="BR127" s="1">
        <v>66</v>
      </c>
      <c r="BS127" s="21">
        <v>11178</v>
      </c>
      <c r="BT127" s="605"/>
      <c r="BU127" s="600">
        <v>3.75</v>
      </c>
      <c r="BV127" s="601">
        <v>0</v>
      </c>
      <c r="BW127" s="386">
        <f t="shared" si="42"/>
        <v>150</v>
      </c>
      <c r="BX127" s="329">
        <f>IF($F127&gt;0,$BW127*$D$208,"")</f>
        <v>191.25</v>
      </c>
      <c r="BY127" s="329">
        <f>IF($F127&gt;1,$BX127*$D$209,"")</f>
        <v>243.84374999999997</v>
      </c>
      <c r="BZ127" s="329">
        <f>IF($F127&gt;2,$BY127*$D$210,"")</f>
        <v>310.90078124999997</v>
      </c>
      <c r="CA127" s="329">
        <f>IF($F127&gt;3,$BZ127*$D$211,"")</f>
      </c>
      <c r="CB127" s="329">
        <f>IF($F127&gt;4,$CA127*$D$212,"")</f>
      </c>
      <c r="CC127" s="329">
        <f>IF($F127&gt;5,$CB127*$D$213,"")</f>
      </c>
      <c r="CD127" s="329">
        <f>IF($F127&gt;6,$CC127*$D$214,"")</f>
      </c>
      <c r="CE127" s="485" t="s">
        <v>1076</v>
      </c>
      <c r="CF127" s="855" t="s">
        <v>920</v>
      </c>
      <c r="CG127" s="440" t="s">
        <v>353</v>
      </c>
      <c r="CH127" s="305">
        <v>2067158</v>
      </c>
      <c r="CI127" s="305">
        <f t="shared" si="39"/>
        <v>620147.4</v>
      </c>
      <c r="CJ127" s="306">
        <f t="shared" si="40"/>
        <v>1447010.6</v>
      </c>
      <c r="CK127" s="307" t="e">
        <f>CJ127-#REF!</f>
        <v>#REF!</v>
      </c>
      <c r="CL127" s="592">
        <v>2067158</v>
      </c>
      <c r="CM127" s="21">
        <f t="shared" si="27"/>
        <v>1</v>
      </c>
      <c r="CN127" s="21">
        <f t="shared" si="28"/>
        <v>3.333333333333333</v>
      </c>
      <c r="CO127" s="54"/>
      <c r="CP127" s="622">
        <f t="shared" si="29"/>
        <v>140</v>
      </c>
      <c r="CQ127" s="623">
        <f t="shared" si="30"/>
        <v>120</v>
      </c>
      <c r="CR127" s="624" t="str">
        <f t="shared" si="31"/>
        <v>S</v>
      </c>
      <c r="CS127" s="634">
        <f t="shared" si="32"/>
        <v>415</v>
      </c>
      <c r="CT127" s="591">
        <f t="shared" si="43"/>
        <v>1075000</v>
      </c>
      <c r="CU127" s="591">
        <f t="shared" si="48"/>
        <v>518.75</v>
      </c>
      <c r="CV127" s="591">
        <v>1500</v>
      </c>
      <c r="CW127" s="54"/>
      <c r="CX127" s="54"/>
      <c r="CY127" s="54"/>
      <c r="CZ127" s="54"/>
      <c r="DA127" s="54">
        <v>1.6875</v>
      </c>
      <c r="DB127" s="54">
        <v>6.25</v>
      </c>
      <c r="DC127" s="649">
        <f t="shared" si="34"/>
        <v>2.33275</v>
      </c>
    </row>
    <row r="128" spans="1:107" ht="12.75">
      <c r="A128" s="387" t="s">
        <v>864</v>
      </c>
      <c r="B128" s="117" t="s">
        <v>1055</v>
      </c>
      <c r="C128" s="315" t="s">
        <v>1042</v>
      </c>
      <c r="D128" s="384">
        <v>41</v>
      </c>
      <c r="E128" s="385" t="s">
        <v>206</v>
      </c>
      <c r="F128" s="15">
        <v>4</v>
      </c>
      <c r="G128" s="18">
        <v>3</v>
      </c>
      <c r="H128" s="17">
        <v>3</v>
      </c>
      <c r="I128" s="323">
        <v>1</v>
      </c>
      <c r="J128" s="186">
        <v>2</v>
      </c>
      <c r="K128" s="188">
        <v>2</v>
      </c>
      <c r="L128" s="868">
        <v>150</v>
      </c>
      <c r="M128" s="884">
        <v>30</v>
      </c>
      <c r="N128" s="106">
        <v>400</v>
      </c>
      <c r="O128" s="454">
        <v>0</v>
      </c>
      <c r="P128" s="531">
        <v>0</v>
      </c>
      <c r="Q128" s="340">
        <v>668</v>
      </c>
      <c r="R128" s="98">
        <v>125</v>
      </c>
      <c r="S128" s="326">
        <f t="shared" si="47"/>
        <v>330.332080078125</v>
      </c>
      <c r="T128" s="342">
        <v>1100</v>
      </c>
      <c r="U128" s="343">
        <v>22500</v>
      </c>
      <c r="V128" s="344">
        <v>2500</v>
      </c>
      <c r="W128" s="289">
        <v>2.17</v>
      </c>
      <c r="X128" s="340">
        <v>422</v>
      </c>
      <c r="Y128" s="43">
        <v>50</v>
      </c>
      <c r="Z128" s="44">
        <v>10</v>
      </c>
      <c r="AA128" s="44">
        <v>45</v>
      </c>
      <c r="AB128" s="49">
        <v>35</v>
      </c>
      <c r="AC128" s="345">
        <v>281</v>
      </c>
      <c r="AD128" s="312">
        <v>625</v>
      </c>
      <c r="AE128" s="292">
        <f t="shared" si="46"/>
        <v>0.4496</v>
      </c>
      <c r="AF128" s="43">
        <v>0</v>
      </c>
      <c r="AG128" s="44">
        <v>50</v>
      </c>
      <c r="AH128" s="44">
        <v>50</v>
      </c>
      <c r="AI128" s="45">
        <v>20</v>
      </c>
      <c r="AJ128" s="5">
        <f t="shared" si="45"/>
        <v>1371</v>
      </c>
      <c r="AK128" s="103" t="str">
        <f t="shared" si="44"/>
        <v>A</v>
      </c>
      <c r="AL128" s="862">
        <v>312</v>
      </c>
      <c r="AM128" s="458">
        <v>234.38</v>
      </c>
      <c r="AN128" s="295">
        <f t="shared" si="37"/>
        <v>1.3311716016724977</v>
      </c>
      <c r="AO128" s="145">
        <v>25</v>
      </c>
      <c r="AP128" s="85" t="s">
        <v>463</v>
      </c>
      <c r="AQ128" s="297">
        <v>955</v>
      </c>
      <c r="AR128" s="33">
        <v>0</v>
      </c>
      <c r="AS128" s="34">
        <v>0</v>
      </c>
      <c r="AT128" s="34">
        <v>10</v>
      </c>
      <c r="AU128" s="73">
        <v>0</v>
      </c>
      <c r="AV128" s="828">
        <v>35</v>
      </c>
      <c r="AW128" s="143">
        <v>450</v>
      </c>
      <c r="AX128" s="33">
        <v>0</v>
      </c>
      <c r="AY128" s="34">
        <v>0</v>
      </c>
      <c r="AZ128" s="34">
        <v>5</v>
      </c>
      <c r="BA128" s="84">
        <v>0</v>
      </c>
      <c r="BB128" s="586">
        <v>13.5</v>
      </c>
      <c r="BC128" s="590">
        <v>1.67E-06</v>
      </c>
      <c r="BD128" s="588">
        <f t="shared" si="26"/>
        <v>106.15133369624387</v>
      </c>
      <c r="BE128" s="299"/>
      <c r="BF128" s="300"/>
      <c r="BG128" s="112"/>
      <c r="BH128" s="541"/>
      <c r="BI128" s="301">
        <v>2</v>
      </c>
      <c r="BJ128" s="346" t="s">
        <v>1401</v>
      </c>
      <c r="BK128" s="13" t="s">
        <v>206</v>
      </c>
      <c r="BL128" s="303" t="s">
        <v>1735</v>
      </c>
      <c r="BM128" s="86" t="s">
        <v>1139</v>
      </c>
      <c r="BN128" s="303" t="s">
        <v>1231</v>
      </c>
      <c r="BO128" s="86"/>
      <c r="BP128" s="1" t="s">
        <v>1202</v>
      </c>
      <c r="BR128" s="1">
        <v>62</v>
      </c>
      <c r="BS128" s="21">
        <v>11202</v>
      </c>
      <c r="BT128" s="605"/>
      <c r="BU128" s="600">
        <v>2.5</v>
      </c>
      <c r="BV128" s="601">
        <v>0</v>
      </c>
      <c r="BW128" s="386">
        <f t="shared" si="42"/>
        <v>125</v>
      </c>
      <c r="BX128" s="329">
        <f>IF($F128&gt;0,$BW128*$D$208,"")</f>
        <v>159.375</v>
      </c>
      <c r="BY128" s="329">
        <f>IF($F128&gt;1,$BX128*$D$209,"")</f>
        <v>203.203125</v>
      </c>
      <c r="BZ128" s="329">
        <f>IF($F128&gt;2,$BY128*$D$210,"")</f>
        <v>259.083984375</v>
      </c>
      <c r="CA128" s="329">
        <f>IF($F128&gt;3,$BZ128*$D$211,"")</f>
        <v>330.332080078125</v>
      </c>
      <c r="CB128" s="329">
        <f>IF($F128&gt;4,$CA128*$D$212,"")</f>
      </c>
      <c r="CC128" s="329">
        <f>IF($F128&gt;5,$CB128*$D$213,"")</f>
      </c>
      <c r="CD128" s="329">
        <f>IF($F128&gt;6,$CC128*$D$214,"")</f>
      </c>
      <c r="CE128" s="485" t="s">
        <v>1475</v>
      </c>
      <c r="CF128" s="855" t="s">
        <v>920</v>
      </c>
      <c r="CG128" s="440" t="s">
        <v>354</v>
      </c>
      <c r="CH128" s="305">
        <v>2114554</v>
      </c>
      <c r="CI128" s="305">
        <f t="shared" si="39"/>
        <v>634366.2</v>
      </c>
      <c r="CJ128" s="306">
        <f t="shared" si="40"/>
        <v>1480187.8</v>
      </c>
      <c r="CK128" s="307" t="e">
        <f>CJ128-#REF!</f>
        <v>#REF!</v>
      </c>
      <c r="CL128" s="592">
        <v>2114554</v>
      </c>
      <c r="CM128" s="21">
        <f t="shared" si="27"/>
        <v>1</v>
      </c>
      <c r="CN128" s="21">
        <f t="shared" si="28"/>
        <v>3.3333333333333335</v>
      </c>
      <c r="CO128" s="54"/>
      <c r="CP128" s="625">
        <f t="shared" si="29"/>
        <v>140</v>
      </c>
      <c r="CQ128" s="626">
        <f t="shared" si="30"/>
        <v>120</v>
      </c>
      <c r="CR128" s="624" t="str">
        <f t="shared" si="31"/>
        <v>A</v>
      </c>
      <c r="CS128" s="634">
        <f t="shared" si="32"/>
        <v>450</v>
      </c>
      <c r="CT128" s="591">
        <f t="shared" si="43"/>
        <v>1100000</v>
      </c>
      <c r="CU128" s="591">
        <f t="shared" si="48"/>
        <v>562.5</v>
      </c>
      <c r="CV128" s="591">
        <v>1500</v>
      </c>
      <c r="CW128" s="54"/>
      <c r="CX128" s="54"/>
      <c r="CY128" s="54"/>
      <c r="CZ128" s="54"/>
      <c r="DA128" s="54">
        <v>1.6875</v>
      </c>
      <c r="DB128" s="54">
        <v>6.25</v>
      </c>
      <c r="DC128" s="649">
        <f t="shared" si="34"/>
        <v>2.387</v>
      </c>
    </row>
    <row r="129" spans="1:107" ht="12.75">
      <c r="A129" s="24" t="s">
        <v>1204</v>
      </c>
      <c r="B129" s="117" t="s">
        <v>1055</v>
      </c>
      <c r="C129" s="315" t="s">
        <v>1042</v>
      </c>
      <c r="D129" s="384">
        <v>41</v>
      </c>
      <c r="E129" s="385" t="s">
        <v>206</v>
      </c>
      <c r="F129" s="15">
        <v>3</v>
      </c>
      <c r="G129" s="18">
        <v>3</v>
      </c>
      <c r="H129" s="17">
        <v>4</v>
      </c>
      <c r="I129" s="16">
        <v>0</v>
      </c>
      <c r="J129" s="186">
        <v>3</v>
      </c>
      <c r="K129" s="188">
        <v>2</v>
      </c>
      <c r="L129" s="868">
        <v>150</v>
      </c>
      <c r="M129" s="885">
        <v>35</v>
      </c>
      <c r="N129" s="106">
        <v>400</v>
      </c>
      <c r="O129" s="454">
        <v>10</v>
      </c>
      <c r="P129" s="531">
        <v>10</v>
      </c>
      <c r="Q129" s="340">
        <v>703</v>
      </c>
      <c r="R129" s="341">
        <v>125</v>
      </c>
      <c r="S129" s="358">
        <f t="shared" si="47"/>
        <v>259.083984375</v>
      </c>
      <c r="T129" s="342">
        <v>1075</v>
      </c>
      <c r="U129" s="343">
        <v>22500</v>
      </c>
      <c r="V129" s="344">
        <v>2500</v>
      </c>
      <c r="W129" s="289">
        <v>2.17</v>
      </c>
      <c r="X129" s="340">
        <v>457</v>
      </c>
      <c r="Y129" s="43">
        <v>50</v>
      </c>
      <c r="Z129" s="44">
        <v>10</v>
      </c>
      <c r="AA129" s="44">
        <v>45</v>
      </c>
      <c r="AB129" s="49">
        <v>35</v>
      </c>
      <c r="AC129" s="345">
        <v>316</v>
      </c>
      <c r="AD129" s="312">
        <v>625</v>
      </c>
      <c r="AE129" s="292">
        <f t="shared" si="46"/>
        <v>0.5056</v>
      </c>
      <c r="AF129" s="43">
        <v>0</v>
      </c>
      <c r="AG129" s="44">
        <v>50</v>
      </c>
      <c r="AH129" s="44">
        <v>50</v>
      </c>
      <c r="AI129" s="45">
        <v>20</v>
      </c>
      <c r="AJ129" s="5">
        <f t="shared" si="45"/>
        <v>1476</v>
      </c>
      <c r="AK129" s="103" t="str">
        <f aca="true" t="shared" si="49" ref="AK129:AK140">IF($X129=$AC129,"=",IF(MAX($AC129,$X129)*0.1&gt;ABS($X129-$AC129),"~",IF(MAX($AC129,$X129)=$X129,"A","S")))</f>
        <v>A</v>
      </c>
      <c r="AL129" s="862">
        <v>343</v>
      </c>
      <c r="AM129" s="458">
        <v>257.81</v>
      </c>
      <c r="AN129" s="295">
        <f t="shared" si="37"/>
        <v>1.3304371436329079</v>
      </c>
      <c r="AO129" s="145">
        <v>20</v>
      </c>
      <c r="AP129" s="85" t="s">
        <v>463</v>
      </c>
      <c r="AQ129" s="297">
        <v>880</v>
      </c>
      <c r="AR129" s="33">
        <v>0</v>
      </c>
      <c r="AS129" s="34">
        <v>0</v>
      </c>
      <c r="AT129" s="34">
        <v>9</v>
      </c>
      <c r="AU129" s="73">
        <v>0</v>
      </c>
      <c r="AV129" s="828">
        <v>36</v>
      </c>
      <c r="AW129" s="143">
        <v>420</v>
      </c>
      <c r="AX129" s="33">
        <v>0</v>
      </c>
      <c r="AY129" s="34">
        <v>0</v>
      </c>
      <c r="AZ129" s="34">
        <v>5</v>
      </c>
      <c r="BA129" s="84">
        <v>0</v>
      </c>
      <c r="BB129" s="586">
        <v>9</v>
      </c>
      <c r="BC129" s="590">
        <v>1.67E-06</v>
      </c>
      <c r="BD129" s="588">
        <f t="shared" si="26"/>
        <v>119.41233811446874</v>
      </c>
      <c r="BE129" s="299"/>
      <c r="BF129" s="300"/>
      <c r="BG129" s="112"/>
      <c r="BH129" s="541"/>
      <c r="BI129" s="301">
        <v>1</v>
      </c>
      <c r="BJ129" s="346" t="s">
        <v>1401</v>
      </c>
      <c r="BK129" s="13" t="s">
        <v>206</v>
      </c>
      <c r="BL129" s="303" t="s">
        <v>635</v>
      </c>
      <c r="BM129" s="86" t="s">
        <v>766</v>
      </c>
      <c r="BN129" s="303" t="s">
        <v>1081</v>
      </c>
      <c r="BO129" s="86"/>
      <c r="BP129" s="1" t="s">
        <v>767</v>
      </c>
      <c r="BR129" s="1">
        <v>62</v>
      </c>
      <c r="BS129" s="21">
        <v>11200</v>
      </c>
      <c r="BT129" s="605"/>
      <c r="BU129" s="600">
        <v>4.5</v>
      </c>
      <c r="BV129" s="601">
        <v>0.4</v>
      </c>
      <c r="BW129" s="386">
        <f t="shared" si="42"/>
        <v>125</v>
      </c>
      <c r="BX129" s="329">
        <f>IF($F129&gt;0,$BW129*$D$208,"")</f>
        <v>159.375</v>
      </c>
      <c r="BY129" s="329">
        <f>IF($F129&gt;1,$BX129*$D$209,"")</f>
        <v>203.203125</v>
      </c>
      <c r="BZ129" s="329">
        <f>IF($F129&gt;2,$BY129*$D$210,"")</f>
        <v>259.083984375</v>
      </c>
      <c r="CA129" s="329">
        <f>IF($F129&gt;3,$BZ129*$D$211,"")</f>
      </c>
      <c r="CB129" s="329">
        <f>IF($F129&gt;4,$CA129*$D$212,"")</f>
      </c>
      <c r="CC129" s="329">
        <f>IF($F129&gt;5,$CB129*$D$213,"")</f>
      </c>
      <c r="CD129" s="329">
        <f>IF($F129&gt;6,$CC129*$D$214,"")</f>
      </c>
      <c r="CE129" s="485" t="s">
        <v>1375</v>
      </c>
      <c r="CF129" s="855" t="s">
        <v>920</v>
      </c>
      <c r="CG129" s="440" t="s">
        <v>266</v>
      </c>
      <c r="CH129" s="305">
        <v>2077810</v>
      </c>
      <c r="CI129" s="305">
        <f t="shared" si="39"/>
        <v>623343</v>
      </c>
      <c r="CJ129" s="306">
        <f t="shared" si="40"/>
        <v>1454467</v>
      </c>
      <c r="CK129" s="307" t="e">
        <f>CJ129-#REF!</f>
        <v>#REF!</v>
      </c>
      <c r="CL129" s="592">
        <v>2077810</v>
      </c>
      <c r="CM129" s="21">
        <f t="shared" si="27"/>
        <v>1</v>
      </c>
      <c r="CN129" s="21">
        <f t="shared" si="28"/>
        <v>3.3333333333333335</v>
      </c>
      <c r="CO129" s="54"/>
      <c r="CP129" s="625">
        <f t="shared" si="29"/>
        <v>140</v>
      </c>
      <c r="CQ129" s="626">
        <f t="shared" si="30"/>
        <v>120</v>
      </c>
      <c r="CR129" s="624" t="str">
        <f t="shared" si="31"/>
        <v>A</v>
      </c>
      <c r="CS129" s="634">
        <f t="shared" si="32"/>
        <v>420</v>
      </c>
      <c r="CT129" s="591">
        <f t="shared" si="43"/>
        <v>1075000</v>
      </c>
      <c r="CU129" s="591">
        <f t="shared" si="48"/>
        <v>525</v>
      </c>
      <c r="CV129" s="591">
        <v>1500</v>
      </c>
      <c r="CW129" s="54"/>
      <c r="CX129" s="54"/>
      <c r="CY129" s="54"/>
      <c r="CZ129" s="54"/>
      <c r="DA129" s="54">
        <v>1.6875</v>
      </c>
      <c r="DB129" s="54">
        <v>6.25</v>
      </c>
      <c r="DC129" s="649">
        <f t="shared" si="34"/>
        <v>2.33275</v>
      </c>
    </row>
    <row r="130" spans="1:107" ht="12.75">
      <c r="A130" s="24" t="s">
        <v>769</v>
      </c>
      <c r="B130" s="117" t="s">
        <v>770</v>
      </c>
      <c r="C130" s="319" t="s">
        <v>99</v>
      </c>
      <c r="D130" s="384">
        <v>41</v>
      </c>
      <c r="E130" s="385" t="s">
        <v>206</v>
      </c>
      <c r="F130" s="15">
        <v>4</v>
      </c>
      <c r="G130" s="18">
        <v>2</v>
      </c>
      <c r="H130" s="17">
        <v>4</v>
      </c>
      <c r="I130" s="16">
        <v>2</v>
      </c>
      <c r="J130" s="186">
        <v>3</v>
      </c>
      <c r="K130" s="188">
        <v>2</v>
      </c>
      <c r="L130" s="868">
        <v>100</v>
      </c>
      <c r="M130" s="885">
        <v>40</v>
      </c>
      <c r="N130" s="106">
        <v>400</v>
      </c>
      <c r="O130" s="454">
        <v>0</v>
      </c>
      <c r="P130" s="531">
        <v>0</v>
      </c>
      <c r="Q130" s="340">
        <v>493</v>
      </c>
      <c r="R130" s="341">
        <v>120</v>
      </c>
      <c r="S130" s="358">
        <f t="shared" si="47"/>
        <v>317.11879687499993</v>
      </c>
      <c r="T130" s="342">
        <v>1126</v>
      </c>
      <c r="U130" s="343">
        <v>17400</v>
      </c>
      <c r="V130" s="344">
        <v>2500</v>
      </c>
      <c r="W130" s="289">
        <v>2.16</v>
      </c>
      <c r="X130" s="340">
        <v>387</v>
      </c>
      <c r="Y130" s="43">
        <v>60</v>
      </c>
      <c r="Z130" s="44">
        <v>10</v>
      </c>
      <c r="AA130" s="44">
        <v>25</v>
      </c>
      <c r="AB130" s="49">
        <v>35</v>
      </c>
      <c r="AC130" s="345">
        <v>352</v>
      </c>
      <c r="AD130" s="312">
        <v>625</v>
      </c>
      <c r="AE130" s="292">
        <f t="shared" si="46"/>
        <v>0.5632</v>
      </c>
      <c r="AF130" s="43">
        <v>10</v>
      </c>
      <c r="AG130" s="44">
        <v>50</v>
      </c>
      <c r="AH130" s="44">
        <v>40</v>
      </c>
      <c r="AI130" s="45">
        <v>20</v>
      </c>
      <c r="AJ130" s="5">
        <f t="shared" si="45"/>
        <v>1232</v>
      </c>
      <c r="AK130" s="103" t="str">
        <f t="shared" si="49"/>
        <v>~</v>
      </c>
      <c r="AL130" s="862">
        <v>281</v>
      </c>
      <c r="AM130" s="458">
        <v>210.94</v>
      </c>
      <c r="AN130" s="295">
        <f t="shared" si="37"/>
        <v>1.3321323599127715</v>
      </c>
      <c r="AO130" s="145">
        <v>17</v>
      </c>
      <c r="AP130" s="85" t="s">
        <v>463</v>
      </c>
      <c r="AQ130" s="297">
        <v>1000</v>
      </c>
      <c r="AR130" s="33">
        <v>0</v>
      </c>
      <c r="AS130" s="34">
        <v>0</v>
      </c>
      <c r="AT130" s="34">
        <v>0</v>
      </c>
      <c r="AU130" s="73">
        <v>8</v>
      </c>
      <c r="AV130" s="828">
        <v>30</v>
      </c>
      <c r="AW130" s="143">
        <v>475</v>
      </c>
      <c r="AX130" s="33">
        <v>0</v>
      </c>
      <c r="AY130" s="34">
        <v>0</v>
      </c>
      <c r="AZ130" s="34">
        <v>0</v>
      </c>
      <c r="BA130" s="84">
        <v>6</v>
      </c>
      <c r="BB130" s="586">
        <v>13.5</v>
      </c>
      <c r="BC130" s="590">
        <v>2.24E-06</v>
      </c>
      <c r="BD130" s="588">
        <f t="shared" si="26"/>
        <v>69.63056648058868</v>
      </c>
      <c r="BE130" s="299"/>
      <c r="BF130" s="300"/>
      <c r="BG130" s="112"/>
      <c r="BH130" s="541"/>
      <c r="BI130" s="301">
        <v>2</v>
      </c>
      <c r="BJ130" s="346" t="s">
        <v>1401</v>
      </c>
      <c r="BK130" s="13" t="s">
        <v>206</v>
      </c>
      <c r="BL130" s="303" t="s">
        <v>636</v>
      </c>
      <c r="BM130" s="86" t="s">
        <v>1641</v>
      </c>
      <c r="BN130" s="303" t="s">
        <v>1228</v>
      </c>
      <c r="BO130" s="86"/>
      <c r="BP130" s="1" t="s">
        <v>1642</v>
      </c>
      <c r="BR130" s="1">
        <v>65</v>
      </c>
      <c r="BS130" s="21">
        <v>11196</v>
      </c>
      <c r="BT130" s="605"/>
      <c r="BU130" s="600">
        <v>4.5</v>
      </c>
      <c r="BV130" s="601">
        <v>0</v>
      </c>
      <c r="BW130" s="386">
        <f t="shared" si="42"/>
        <v>120</v>
      </c>
      <c r="BX130" s="329">
        <f>IF($F130&gt;0,$BW130*$D$208,"")</f>
        <v>153</v>
      </c>
      <c r="BY130" s="329">
        <f>IF($F130&gt;1,$BX130*$D$209,"")</f>
        <v>195.075</v>
      </c>
      <c r="BZ130" s="329">
        <f>IF($F130&gt;2,$BY130*$D$210,"")</f>
        <v>248.72062499999996</v>
      </c>
      <c r="CA130" s="329">
        <f>IF($F130&gt;3,$BZ130*$D$211,"")</f>
        <v>317.11879687499993</v>
      </c>
      <c r="CB130" s="329">
        <f>IF($F130&gt;4,$CA130*$D$212,"")</f>
      </c>
      <c r="CC130" s="329">
        <f>IF($F130&gt;5,$CB130*$D$213,"")</f>
      </c>
      <c r="CD130" s="329">
        <f>IF($F130&gt;6,$CC130*$D$214,"")</f>
      </c>
      <c r="CE130" s="485" t="s">
        <v>1596</v>
      </c>
      <c r="CF130" s="855" t="s">
        <v>920</v>
      </c>
      <c r="CG130" s="440" t="s">
        <v>327</v>
      </c>
      <c r="CH130" s="305">
        <v>2070268</v>
      </c>
      <c r="CI130" s="305">
        <f t="shared" si="39"/>
        <v>621080.4</v>
      </c>
      <c r="CJ130" s="306">
        <f t="shared" si="40"/>
        <v>1449187.6</v>
      </c>
      <c r="CK130" s="307" t="e">
        <f>CJ130-#REF!</f>
        <v>#REF!</v>
      </c>
      <c r="CL130" s="592">
        <v>2070268</v>
      </c>
      <c r="CM130" s="21">
        <f t="shared" si="27"/>
        <v>1</v>
      </c>
      <c r="CN130" s="21">
        <f t="shared" si="28"/>
        <v>3.333333333333333</v>
      </c>
      <c r="CO130" s="54"/>
      <c r="CP130" s="625">
        <f t="shared" si="29"/>
        <v>130</v>
      </c>
      <c r="CQ130" s="623">
        <f t="shared" si="30"/>
        <v>120</v>
      </c>
      <c r="CR130" s="624" t="str">
        <f t="shared" si="31"/>
        <v>~</v>
      </c>
      <c r="CS130" s="634">
        <f t="shared" si="32"/>
        <v>475</v>
      </c>
      <c r="CT130" s="591">
        <f t="shared" si="43"/>
        <v>1126000</v>
      </c>
      <c r="CU130" s="591">
        <f t="shared" si="48"/>
        <v>593.75</v>
      </c>
      <c r="CV130" s="591">
        <v>1500</v>
      </c>
      <c r="CW130" s="54"/>
      <c r="CX130" s="54"/>
      <c r="CY130" s="54"/>
      <c r="CZ130" s="54"/>
      <c r="DA130" s="54">
        <v>1.6875</v>
      </c>
      <c r="DB130" s="54">
        <v>6.25</v>
      </c>
      <c r="DC130" s="649">
        <f t="shared" si="34"/>
        <v>2.43216</v>
      </c>
    </row>
    <row r="131" spans="1:107" ht="12.75">
      <c r="A131" s="24" t="s">
        <v>345</v>
      </c>
      <c r="B131" s="117" t="s">
        <v>770</v>
      </c>
      <c r="C131" s="319" t="s">
        <v>99</v>
      </c>
      <c r="D131" s="384">
        <v>41</v>
      </c>
      <c r="E131" s="385" t="s">
        <v>206</v>
      </c>
      <c r="F131" s="15">
        <v>3</v>
      </c>
      <c r="G131" s="18">
        <v>4</v>
      </c>
      <c r="H131" s="17">
        <v>3</v>
      </c>
      <c r="I131" s="16">
        <v>1</v>
      </c>
      <c r="J131" s="186">
        <v>2</v>
      </c>
      <c r="K131" s="188">
        <v>2</v>
      </c>
      <c r="L131" s="868">
        <v>150</v>
      </c>
      <c r="M131" s="885">
        <v>30</v>
      </c>
      <c r="N131" s="106">
        <v>400</v>
      </c>
      <c r="O131" s="454">
        <v>0</v>
      </c>
      <c r="P131" s="531">
        <v>0</v>
      </c>
      <c r="Q131" s="340">
        <v>528</v>
      </c>
      <c r="R131" s="341">
        <v>120</v>
      </c>
      <c r="S131" s="358">
        <f t="shared" si="47"/>
        <v>248.72062499999996</v>
      </c>
      <c r="T131" s="342">
        <v>1100</v>
      </c>
      <c r="U131" s="343">
        <v>17400</v>
      </c>
      <c r="V131" s="344">
        <v>2500</v>
      </c>
      <c r="W131" s="289">
        <v>2.17</v>
      </c>
      <c r="X131" s="340">
        <v>422</v>
      </c>
      <c r="Y131" s="43">
        <v>60</v>
      </c>
      <c r="Z131" s="44">
        <v>10</v>
      </c>
      <c r="AA131" s="44">
        <v>25</v>
      </c>
      <c r="AB131" s="49">
        <v>35</v>
      </c>
      <c r="AC131" s="345">
        <v>387</v>
      </c>
      <c r="AD131" s="312">
        <v>625</v>
      </c>
      <c r="AE131" s="292">
        <f t="shared" si="46"/>
        <v>0.6192</v>
      </c>
      <c r="AF131" s="43">
        <v>10</v>
      </c>
      <c r="AG131" s="44">
        <v>50</v>
      </c>
      <c r="AH131" s="44">
        <v>40</v>
      </c>
      <c r="AI131" s="45">
        <v>20</v>
      </c>
      <c r="AJ131" s="5">
        <f t="shared" si="45"/>
        <v>1337</v>
      </c>
      <c r="AK131" s="103" t="str">
        <f t="shared" si="49"/>
        <v>~</v>
      </c>
      <c r="AL131" s="862">
        <v>250</v>
      </c>
      <c r="AM131" s="458">
        <v>187.5</v>
      </c>
      <c r="AN131" s="295">
        <f t="shared" si="37"/>
        <v>1.3333333333333333</v>
      </c>
      <c r="AO131" s="145">
        <v>25</v>
      </c>
      <c r="AP131" s="85" t="s">
        <v>463</v>
      </c>
      <c r="AQ131" s="297">
        <v>925</v>
      </c>
      <c r="AR131" s="33">
        <v>0</v>
      </c>
      <c r="AS131" s="34">
        <v>0</v>
      </c>
      <c r="AT131" s="34">
        <v>0</v>
      </c>
      <c r="AU131" s="73">
        <v>9</v>
      </c>
      <c r="AV131" s="829">
        <v>31</v>
      </c>
      <c r="AW131" s="143">
        <v>435</v>
      </c>
      <c r="AX131" s="33">
        <v>0</v>
      </c>
      <c r="AY131" s="34">
        <v>0</v>
      </c>
      <c r="AZ131" s="34">
        <v>0</v>
      </c>
      <c r="BA131" s="84">
        <v>6</v>
      </c>
      <c r="BB131" s="586">
        <v>9</v>
      </c>
      <c r="BC131" s="590">
        <v>2.24E-06</v>
      </c>
      <c r="BD131" s="588">
        <f t="shared" si="26"/>
        <v>63.41314935064935</v>
      </c>
      <c r="BE131" s="299"/>
      <c r="BF131" s="300"/>
      <c r="BG131" s="112"/>
      <c r="BH131" s="541"/>
      <c r="BI131" s="301">
        <v>1</v>
      </c>
      <c r="BJ131" s="346" t="s">
        <v>1401</v>
      </c>
      <c r="BK131" s="13" t="s">
        <v>206</v>
      </c>
      <c r="BL131" s="303" t="s">
        <v>593</v>
      </c>
      <c r="BM131" s="86" t="s">
        <v>950</v>
      </c>
      <c r="BN131" s="303" t="s">
        <v>1172</v>
      </c>
      <c r="BO131" s="86"/>
      <c r="BP131" s="1" t="s">
        <v>951</v>
      </c>
      <c r="BR131" s="1">
        <v>65</v>
      </c>
      <c r="BS131" s="21">
        <v>11198</v>
      </c>
      <c r="BT131" s="605"/>
      <c r="BU131" s="600">
        <v>2.5</v>
      </c>
      <c r="BV131" s="601">
        <v>0</v>
      </c>
      <c r="BW131" s="386">
        <f t="shared" si="42"/>
        <v>120</v>
      </c>
      <c r="BX131" s="329">
        <f>IF($F131&gt;0,$BW131*$D$208,"")</f>
        <v>153</v>
      </c>
      <c r="BY131" s="329">
        <f>IF($F131&gt;1,$BX131*$D$209,"")</f>
        <v>195.075</v>
      </c>
      <c r="BZ131" s="329">
        <f>IF($F131&gt;2,$BY131*$D$210,"")</f>
        <v>248.72062499999996</v>
      </c>
      <c r="CA131" s="329">
        <f>IF($F131&gt;3,$BZ131*$D$211,"")</f>
      </c>
      <c r="CB131" s="329">
        <f>IF($F131&gt;4,$CA131*$D$212,"")</f>
      </c>
      <c r="CC131" s="329">
        <f>IF($F131&gt;5,$CB131*$D$213,"")</f>
      </c>
      <c r="CD131" s="329">
        <f>IF($F131&gt;6,$CC131*$D$214,"")</f>
      </c>
      <c r="CE131" s="485" t="s">
        <v>1609</v>
      </c>
      <c r="CF131" s="855" t="s">
        <v>920</v>
      </c>
      <c r="CG131" s="440" t="s">
        <v>328</v>
      </c>
      <c r="CH131" s="305">
        <v>2059228</v>
      </c>
      <c r="CI131" s="305">
        <f t="shared" si="39"/>
        <v>617768.4</v>
      </c>
      <c r="CJ131" s="306">
        <f t="shared" si="40"/>
        <v>1441459.6</v>
      </c>
      <c r="CK131" s="307" t="e">
        <f>CJ131-#REF!</f>
        <v>#REF!</v>
      </c>
      <c r="CL131" s="592">
        <v>2059228</v>
      </c>
      <c r="CM131" s="21">
        <f t="shared" si="27"/>
        <v>1</v>
      </c>
      <c r="CN131" s="21">
        <f t="shared" si="28"/>
        <v>3.333333333333333</v>
      </c>
      <c r="CO131" s="54"/>
      <c r="CP131" s="625">
        <f t="shared" si="29"/>
        <v>130</v>
      </c>
      <c r="CQ131" s="623">
        <f t="shared" si="30"/>
        <v>120</v>
      </c>
      <c r="CR131" s="624" t="str">
        <f t="shared" si="31"/>
        <v>~</v>
      </c>
      <c r="CS131" s="634">
        <f t="shared" si="32"/>
        <v>435</v>
      </c>
      <c r="CT131" s="591">
        <f t="shared" si="43"/>
        <v>1100000</v>
      </c>
      <c r="CU131" s="591">
        <f t="shared" si="48"/>
        <v>543.75</v>
      </c>
      <c r="CV131" s="591">
        <v>1500</v>
      </c>
      <c r="CW131" s="54"/>
      <c r="CX131" s="54"/>
      <c r="CY131" s="54"/>
      <c r="CZ131" s="54"/>
      <c r="DA131" s="54">
        <v>1.6875</v>
      </c>
      <c r="DB131" s="54">
        <v>6.25</v>
      </c>
      <c r="DC131" s="649">
        <f t="shared" si="34"/>
        <v>2.387</v>
      </c>
    </row>
    <row r="132" spans="1:107" ht="12.75">
      <c r="A132" s="24" t="s">
        <v>278</v>
      </c>
      <c r="B132" s="69" t="s">
        <v>278</v>
      </c>
      <c r="C132" s="308" t="s">
        <v>827</v>
      </c>
      <c r="D132" s="122">
        <v>40</v>
      </c>
      <c r="E132" s="120" t="s">
        <v>1140</v>
      </c>
      <c r="F132" s="15">
        <v>3</v>
      </c>
      <c r="G132" s="739">
        <v>3</v>
      </c>
      <c r="H132" s="17">
        <v>2</v>
      </c>
      <c r="I132" s="16">
        <v>0</v>
      </c>
      <c r="J132" s="186">
        <v>2</v>
      </c>
      <c r="K132" s="188">
        <v>3</v>
      </c>
      <c r="L132" s="867">
        <v>215</v>
      </c>
      <c r="M132" s="884">
        <v>25</v>
      </c>
      <c r="N132" s="106">
        <v>400</v>
      </c>
      <c r="O132" s="454">
        <v>5</v>
      </c>
      <c r="P132" s="531">
        <v>5</v>
      </c>
      <c r="Q132" s="340">
        <v>329</v>
      </c>
      <c r="R132" s="98">
        <v>165</v>
      </c>
      <c r="S132" s="326">
        <f t="shared" si="47"/>
        <v>341.9908593749999</v>
      </c>
      <c r="T132" s="342">
        <v>1064</v>
      </c>
      <c r="U132" s="343">
        <v>28100</v>
      </c>
      <c r="V132" s="344">
        <v>2500</v>
      </c>
      <c r="W132" s="289">
        <v>3.11</v>
      </c>
      <c r="X132" s="340">
        <v>375</v>
      </c>
      <c r="Y132" s="43">
        <v>50</v>
      </c>
      <c r="Z132" s="44">
        <v>20</v>
      </c>
      <c r="AA132" s="44">
        <v>25</v>
      </c>
      <c r="AB132" s="49">
        <v>35</v>
      </c>
      <c r="AC132" s="345">
        <v>274</v>
      </c>
      <c r="AD132" s="312">
        <v>625</v>
      </c>
      <c r="AE132" s="292">
        <f t="shared" si="46"/>
        <v>0.4384</v>
      </c>
      <c r="AF132" s="43">
        <v>0</v>
      </c>
      <c r="AG132" s="44">
        <v>50</v>
      </c>
      <c r="AH132" s="44">
        <v>40</v>
      </c>
      <c r="AI132" s="45">
        <v>20</v>
      </c>
      <c r="AJ132" s="5">
        <f aca="true" t="shared" si="50" ref="AJ132:AJ164">Q132+X132+AC132</f>
        <v>978</v>
      </c>
      <c r="AK132" s="103" t="str">
        <f t="shared" si="49"/>
        <v>A</v>
      </c>
      <c r="AL132" s="862">
        <v>250</v>
      </c>
      <c r="AM132" s="458">
        <v>187.5</v>
      </c>
      <c r="AN132" s="295">
        <f t="shared" si="37"/>
        <v>1.3333333333333333</v>
      </c>
      <c r="AO132" s="145">
        <v>47</v>
      </c>
      <c r="AP132" s="85" t="s">
        <v>465</v>
      </c>
      <c r="AQ132" s="297">
        <v>440</v>
      </c>
      <c r="AR132" s="33">
        <v>14</v>
      </c>
      <c r="AS132" s="34">
        <v>0</v>
      </c>
      <c r="AT132" s="34">
        <v>0</v>
      </c>
      <c r="AU132" s="73">
        <v>0</v>
      </c>
      <c r="AV132" s="39">
        <v>46</v>
      </c>
      <c r="AW132" s="143">
        <v>282</v>
      </c>
      <c r="AX132" s="33">
        <v>5</v>
      </c>
      <c r="AY132" s="34">
        <v>0</v>
      </c>
      <c r="AZ132" s="34">
        <v>0</v>
      </c>
      <c r="BA132" s="84">
        <v>0</v>
      </c>
      <c r="BB132" s="586">
        <v>6</v>
      </c>
      <c r="BC132" s="590">
        <v>1.67E-06</v>
      </c>
      <c r="BD132" s="588">
        <f t="shared" si="26"/>
        <v>87.93503219125658</v>
      </c>
      <c r="BE132" s="299"/>
      <c r="BF132" s="300"/>
      <c r="BG132" s="112"/>
      <c r="BH132" s="541"/>
      <c r="BI132" s="301">
        <v>4</v>
      </c>
      <c r="BJ132" s="696" t="s">
        <v>1476</v>
      </c>
      <c r="BK132" s="13" t="s">
        <v>181</v>
      </c>
      <c r="BL132" s="303" t="s">
        <v>74</v>
      </c>
      <c r="BM132" s="86" t="s">
        <v>761</v>
      </c>
      <c r="BN132" s="303" t="s">
        <v>104</v>
      </c>
      <c r="BO132" s="86"/>
      <c r="BP132" s="1" t="s">
        <v>763</v>
      </c>
      <c r="BR132" s="1">
        <v>78</v>
      </c>
      <c r="BS132" s="21">
        <v>2161</v>
      </c>
      <c r="BT132" s="606"/>
      <c r="BU132" s="601">
        <v>2</v>
      </c>
      <c r="BV132" s="601">
        <v>0.2</v>
      </c>
      <c r="BW132" s="329">
        <f t="shared" si="42"/>
        <v>165</v>
      </c>
      <c r="BX132" s="329">
        <f>IF($F132&gt;0,$BW132*$D$208,"")</f>
        <v>210.37499999999997</v>
      </c>
      <c r="BY132" s="329">
        <f>IF($F132&gt;1,$BX132*$D$209,"")</f>
        <v>268.2281249999999</v>
      </c>
      <c r="BZ132" s="329">
        <f>IF($F132&gt;2,$BY132*$D$210,"")</f>
        <v>341.9908593749999</v>
      </c>
      <c r="CA132" s="329">
        <f>IF($F132&gt;3,$BZ132*$D$211,"")</f>
      </c>
      <c r="CB132" s="329">
        <f>IF($F132&gt;4,$CA132*$D$212,"")</f>
      </c>
      <c r="CC132" s="329">
        <f>IF($F132&gt;5,$CB132*$D$213,"")</f>
      </c>
      <c r="CD132" s="329">
        <f>IF($F132&gt;6,$CC132*$D$214,"")</f>
      </c>
      <c r="CE132" s="485" t="s">
        <v>1211</v>
      </c>
      <c r="CF132" s="853" t="s">
        <v>919</v>
      </c>
      <c r="CG132" s="440" t="s">
        <v>329</v>
      </c>
      <c r="CH132" s="305">
        <v>150000</v>
      </c>
      <c r="CI132" s="305">
        <f t="shared" si="39"/>
        <v>45000</v>
      </c>
      <c r="CJ132" s="306">
        <f t="shared" si="40"/>
        <v>105000</v>
      </c>
      <c r="CK132" s="307" t="e">
        <f>CJ132-#REF!</f>
        <v>#REF!</v>
      </c>
      <c r="CL132" s="592">
        <v>150000</v>
      </c>
      <c r="CM132" s="21">
        <f t="shared" si="27"/>
        <v>1</v>
      </c>
      <c r="CN132" s="21">
        <f t="shared" si="28"/>
        <v>3.3333333333333335</v>
      </c>
      <c r="CO132" s="54"/>
      <c r="CP132" s="625">
        <f t="shared" si="29"/>
        <v>130</v>
      </c>
      <c r="CQ132" s="626">
        <f t="shared" si="30"/>
        <v>110</v>
      </c>
      <c r="CR132" s="624" t="str">
        <f t="shared" si="31"/>
        <v>A</v>
      </c>
      <c r="CS132" s="634">
        <f t="shared" si="32"/>
        <v>282</v>
      </c>
      <c r="CT132" s="591">
        <f t="shared" si="43"/>
        <v>1064000</v>
      </c>
      <c r="CU132" s="591">
        <f t="shared" si="48"/>
        <v>352.5</v>
      </c>
      <c r="CV132" s="591">
        <v>1500</v>
      </c>
      <c r="CW132" s="54"/>
      <c r="CX132" s="54"/>
      <c r="CY132" s="54"/>
      <c r="CZ132" s="54"/>
      <c r="DA132" s="54">
        <v>1.6875</v>
      </c>
      <c r="DB132" s="54">
        <v>6.25</v>
      </c>
      <c r="DC132" s="649">
        <f t="shared" si="34"/>
        <v>3.30904</v>
      </c>
    </row>
    <row r="133" spans="1:107" ht="12.75">
      <c r="A133" s="24" t="s">
        <v>1298</v>
      </c>
      <c r="B133" s="69" t="s">
        <v>1298</v>
      </c>
      <c r="C133" s="308" t="s">
        <v>827</v>
      </c>
      <c r="D133" s="122">
        <v>40</v>
      </c>
      <c r="E133" s="120" t="s">
        <v>1140</v>
      </c>
      <c r="F133" s="15">
        <v>2</v>
      </c>
      <c r="G133" s="18">
        <v>2</v>
      </c>
      <c r="H133" s="17">
        <v>2</v>
      </c>
      <c r="I133" s="16">
        <v>0</v>
      </c>
      <c r="J133" s="738">
        <v>2</v>
      </c>
      <c r="K133" s="188">
        <v>3</v>
      </c>
      <c r="L133" s="867">
        <v>100</v>
      </c>
      <c r="M133" s="884">
        <v>25</v>
      </c>
      <c r="N133" s="106">
        <v>400</v>
      </c>
      <c r="O133" s="454">
        <v>0</v>
      </c>
      <c r="P133" s="531">
        <v>0</v>
      </c>
      <c r="Q133" s="340">
        <v>274</v>
      </c>
      <c r="R133" s="98">
        <v>135</v>
      </c>
      <c r="S133" s="326">
        <f t="shared" si="47"/>
        <v>219.459375</v>
      </c>
      <c r="T133" s="342">
        <v>1124</v>
      </c>
      <c r="U133" s="343">
        <v>28100</v>
      </c>
      <c r="V133" s="344">
        <v>2500</v>
      </c>
      <c r="W133" s="289">
        <v>2.02</v>
      </c>
      <c r="X133" s="340">
        <v>305</v>
      </c>
      <c r="Y133" s="43">
        <v>50</v>
      </c>
      <c r="Z133" s="44">
        <v>20</v>
      </c>
      <c r="AA133" s="44">
        <v>25</v>
      </c>
      <c r="AB133" s="49">
        <v>35</v>
      </c>
      <c r="AC133" s="345">
        <v>235</v>
      </c>
      <c r="AD133" s="312">
        <v>625</v>
      </c>
      <c r="AE133" s="292">
        <f t="shared" si="46"/>
        <v>0.376</v>
      </c>
      <c r="AF133" s="43">
        <v>0</v>
      </c>
      <c r="AG133" s="44">
        <v>50</v>
      </c>
      <c r="AH133" s="44">
        <v>40</v>
      </c>
      <c r="AI133" s="45">
        <v>20</v>
      </c>
      <c r="AJ133" s="5">
        <f t="shared" si="50"/>
        <v>814</v>
      </c>
      <c r="AK133" s="103" t="str">
        <f t="shared" si="49"/>
        <v>A</v>
      </c>
      <c r="AL133" s="862">
        <v>187</v>
      </c>
      <c r="AM133" s="458">
        <v>140.63</v>
      </c>
      <c r="AN133" s="295">
        <f t="shared" si="37"/>
        <v>1.3297304984711655</v>
      </c>
      <c r="AO133" s="145">
        <v>20</v>
      </c>
      <c r="AP133" s="85" t="s">
        <v>463</v>
      </c>
      <c r="AQ133" s="297">
        <v>700</v>
      </c>
      <c r="AR133" s="33">
        <v>6</v>
      </c>
      <c r="AS133" s="34">
        <v>0</v>
      </c>
      <c r="AT133" s="34">
        <v>0</v>
      </c>
      <c r="AU133" s="73">
        <v>0</v>
      </c>
      <c r="AV133" s="39">
        <v>33</v>
      </c>
      <c r="AW133" s="143">
        <v>404</v>
      </c>
      <c r="AX133" s="33">
        <v>4</v>
      </c>
      <c r="AY133" s="34">
        <v>0</v>
      </c>
      <c r="AZ133" s="34">
        <v>0</v>
      </c>
      <c r="BA133" s="84">
        <v>0</v>
      </c>
      <c r="BB133" s="586">
        <v>6</v>
      </c>
      <c r="BC133" s="590">
        <v>1.67E-06</v>
      </c>
      <c r="BD133" s="588">
        <f aca="true" t="shared" si="51" ref="BD133:BD196">(AL133*1.25*(1-0.1*5))/(T133*1000*BC133)</f>
        <v>62.264261512562065</v>
      </c>
      <c r="BE133" s="299"/>
      <c r="BF133" s="300"/>
      <c r="BG133" s="112"/>
      <c r="BH133" s="541"/>
      <c r="BI133" s="301">
        <v>2</v>
      </c>
      <c r="BJ133" s="696" t="s">
        <v>1476</v>
      </c>
      <c r="BK133" s="13" t="s">
        <v>206</v>
      </c>
      <c r="BL133" s="303" t="s">
        <v>765</v>
      </c>
      <c r="BM133" s="86" t="s">
        <v>53</v>
      </c>
      <c r="BN133" s="303" t="s">
        <v>104</v>
      </c>
      <c r="BO133" s="86"/>
      <c r="BP133" s="1" t="s">
        <v>54</v>
      </c>
      <c r="BR133" s="1">
        <v>26</v>
      </c>
      <c r="BS133" s="21">
        <v>589</v>
      </c>
      <c r="BT133" s="605"/>
      <c r="BU133" s="600">
        <v>2.5</v>
      </c>
      <c r="BV133" s="601">
        <v>0</v>
      </c>
      <c r="BW133" s="329">
        <f t="shared" si="42"/>
        <v>135</v>
      </c>
      <c r="BX133" s="329">
        <f>IF($F133&gt;0,$BW133*$D$208,"")</f>
        <v>172.125</v>
      </c>
      <c r="BY133" s="329">
        <f>IF($F133&gt;1,$BX133*$D$209,"")</f>
        <v>219.459375</v>
      </c>
      <c r="BZ133" s="329">
        <f>IF($F133&gt;2,$BY133*$D$210,"")</f>
      </c>
      <c r="CA133" s="329">
        <f>IF($F133&gt;3,$BZ133*$D$211,"")</f>
      </c>
      <c r="CB133" s="329">
        <f>IF($F133&gt;4,$CA133*$D$212,"")</f>
      </c>
      <c r="CC133" s="329">
        <f>IF($F133&gt;5,$CB133*$D$213,"")</f>
      </c>
      <c r="CD133" s="329">
        <f>IF($F133&gt;6,$CC133*$D$214,"")</f>
      </c>
      <c r="CE133" s="485" t="s">
        <v>1594</v>
      </c>
      <c r="CF133" s="853" t="s">
        <v>919</v>
      </c>
      <c r="CG133" s="440" t="s">
        <v>330</v>
      </c>
      <c r="CH133" s="305">
        <v>30000</v>
      </c>
      <c r="CI133" s="305">
        <f t="shared" si="39"/>
        <v>9000</v>
      </c>
      <c r="CJ133" s="306">
        <f t="shared" si="40"/>
        <v>21000</v>
      </c>
      <c r="CK133" s="307" t="e">
        <f>CJ133-#REF!</f>
        <v>#REF!</v>
      </c>
      <c r="CL133" s="592">
        <v>30000</v>
      </c>
      <c r="CM133" s="21">
        <f aca="true" t="shared" si="52" ref="CM133:CM196">CL133/CH133</f>
        <v>1</v>
      </c>
      <c r="CN133" s="21">
        <f aca="true" t="shared" si="53" ref="CN133:CN196">CL133/CI133</f>
        <v>3.3333333333333335</v>
      </c>
      <c r="CO133" s="54"/>
      <c r="CP133" s="625">
        <f aca="true" t="shared" si="54" ref="CP133:CP196">SUM(Y133:AB133)</f>
        <v>130</v>
      </c>
      <c r="CQ133" s="626">
        <f aca="true" t="shared" si="55" ref="CQ133:CQ196">SUM(AF133:AI133)</f>
        <v>110</v>
      </c>
      <c r="CR133" s="624" t="str">
        <f aca="true" t="shared" si="56" ref="CR133:CR196">AK133</f>
        <v>A</v>
      </c>
      <c r="CS133" s="634">
        <f aca="true" t="shared" si="57" ref="CS133:CS196">AW133</f>
        <v>404</v>
      </c>
      <c r="CT133" s="591">
        <f t="shared" si="43"/>
        <v>1124000</v>
      </c>
      <c r="CU133" s="591">
        <f t="shared" si="48"/>
        <v>505</v>
      </c>
      <c r="CV133" s="591">
        <v>1500</v>
      </c>
      <c r="CW133" s="54"/>
      <c r="CX133" s="54"/>
      <c r="CY133" s="54"/>
      <c r="CZ133" s="54"/>
      <c r="DA133" s="54">
        <v>1.6875</v>
      </c>
      <c r="DB133" s="54">
        <v>6.25</v>
      </c>
      <c r="DC133" s="649">
        <f aca="true" t="shared" si="58" ref="DC133:DC196">T133*W133/1000</f>
        <v>2.27048</v>
      </c>
    </row>
    <row r="134" spans="1:107" ht="12.75">
      <c r="A134" s="24" t="s">
        <v>1603</v>
      </c>
      <c r="B134" s="69" t="s">
        <v>1603</v>
      </c>
      <c r="C134" s="308" t="s">
        <v>827</v>
      </c>
      <c r="D134" s="122">
        <v>40</v>
      </c>
      <c r="E134" s="120" t="s">
        <v>1140</v>
      </c>
      <c r="F134" s="15">
        <v>3</v>
      </c>
      <c r="G134" s="18">
        <v>2</v>
      </c>
      <c r="H134" s="17">
        <v>4</v>
      </c>
      <c r="I134" s="740">
        <v>3</v>
      </c>
      <c r="J134" s="187">
        <v>1</v>
      </c>
      <c r="K134" s="188">
        <v>3</v>
      </c>
      <c r="L134" s="867">
        <v>125</v>
      </c>
      <c r="M134" s="884">
        <v>32</v>
      </c>
      <c r="N134" s="106">
        <v>400</v>
      </c>
      <c r="O134" s="454">
        <v>0</v>
      </c>
      <c r="P134" s="531">
        <v>0</v>
      </c>
      <c r="Q134" s="340">
        <v>368</v>
      </c>
      <c r="R134" s="98">
        <v>315</v>
      </c>
      <c r="S134" s="326">
        <f t="shared" si="47"/>
        <v>652.8916406249999</v>
      </c>
      <c r="T134" s="342">
        <v>1130</v>
      </c>
      <c r="U134" s="343">
        <v>28700</v>
      </c>
      <c r="V134" s="344">
        <v>2500</v>
      </c>
      <c r="W134" s="289">
        <v>2.88</v>
      </c>
      <c r="X134" s="340">
        <v>423</v>
      </c>
      <c r="Y134" s="43">
        <v>50</v>
      </c>
      <c r="Z134" s="44">
        <v>20</v>
      </c>
      <c r="AA134" s="44">
        <v>25</v>
      </c>
      <c r="AB134" s="49">
        <v>35</v>
      </c>
      <c r="AC134" s="345">
        <v>274</v>
      </c>
      <c r="AD134" s="312">
        <v>625</v>
      </c>
      <c r="AE134" s="292">
        <f t="shared" si="46"/>
        <v>0.4384</v>
      </c>
      <c r="AF134" s="43">
        <v>0</v>
      </c>
      <c r="AG134" s="44">
        <v>50</v>
      </c>
      <c r="AH134" s="44">
        <v>40</v>
      </c>
      <c r="AI134" s="45">
        <v>20</v>
      </c>
      <c r="AJ134" s="5">
        <f t="shared" si="50"/>
        <v>1065</v>
      </c>
      <c r="AK134" s="103" t="str">
        <f t="shared" si="49"/>
        <v>A</v>
      </c>
      <c r="AL134" s="862">
        <v>250</v>
      </c>
      <c r="AM134" s="458">
        <v>187.5</v>
      </c>
      <c r="AN134" s="295">
        <f t="shared" si="37"/>
        <v>1.3333333333333333</v>
      </c>
      <c r="AO134" s="145">
        <v>35</v>
      </c>
      <c r="AP134" s="85" t="s">
        <v>175</v>
      </c>
      <c r="AQ134" s="297">
        <v>525</v>
      </c>
      <c r="AR134" s="33">
        <v>8</v>
      </c>
      <c r="AS134" s="34">
        <v>0</v>
      </c>
      <c r="AT134" s="34">
        <v>0</v>
      </c>
      <c r="AU134" s="73">
        <v>0</v>
      </c>
      <c r="AV134" s="39">
        <v>43</v>
      </c>
      <c r="AW134" s="143">
        <v>306</v>
      </c>
      <c r="AX134" s="33">
        <v>5</v>
      </c>
      <c r="AY134" s="34">
        <v>0</v>
      </c>
      <c r="AZ134" s="34">
        <v>0</v>
      </c>
      <c r="BA134" s="84">
        <v>0</v>
      </c>
      <c r="BB134" s="586">
        <v>6</v>
      </c>
      <c r="BC134" s="590">
        <v>1.67E-06</v>
      </c>
      <c r="BD134" s="588">
        <f t="shared" si="51"/>
        <v>82.79900376238672</v>
      </c>
      <c r="BE134" s="299"/>
      <c r="BF134" s="300"/>
      <c r="BG134" s="112"/>
      <c r="BH134" s="541"/>
      <c r="BI134" s="301">
        <v>5</v>
      </c>
      <c r="BJ134" s="696" t="s">
        <v>1476</v>
      </c>
      <c r="BK134" s="13" t="s">
        <v>1671</v>
      </c>
      <c r="BL134" s="303" t="s">
        <v>1161</v>
      </c>
      <c r="BM134" s="86" t="s">
        <v>697</v>
      </c>
      <c r="BN134" s="303" t="s">
        <v>104</v>
      </c>
      <c r="BO134" s="86"/>
      <c r="BP134" s="1" t="s">
        <v>698</v>
      </c>
      <c r="BR134" s="1">
        <v>41</v>
      </c>
      <c r="BS134" s="21">
        <v>590</v>
      </c>
      <c r="BT134" s="605"/>
      <c r="BU134" s="600">
        <v>4.5</v>
      </c>
      <c r="BV134" s="601">
        <v>0</v>
      </c>
      <c r="BW134" s="329">
        <f t="shared" si="42"/>
        <v>315</v>
      </c>
      <c r="BX134" s="329">
        <f>IF($F134&gt;0,$BW134*$D$208,"")</f>
        <v>401.625</v>
      </c>
      <c r="BY134" s="329">
        <f>IF($F134&gt;1,$BX134*$D$209,"")</f>
        <v>512.071875</v>
      </c>
      <c r="BZ134" s="329">
        <f>IF($F134&gt;2,$BY134*$D$210,"")</f>
        <v>652.8916406249999</v>
      </c>
      <c r="CA134" s="329">
        <f>IF($F134&gt;3,$BZ134*$D$211,"")</f>
      </c>
      <c r="CB134" s="329">
        <f>IF($F134&gt;4,$CA134*$D$212,"")</f>
      </c>
      <c r="CC134" s="329">
        <f>IF($F134&gt;5,$CB134*$D$213,"")</f>
      </c>
      <c r="CD134" s="329">
        <f>IF($F134&gt;6,$CC134*$D$214,"")</f>
      </c>
      <c r="CE134" s="485" t="s">
        <v>1291</v>
      </c>
      <c r="CF134" s="853" t="s">
        <v>919</v>
      </c>
      <c r="CG134" s="440" t="s">
        <v>331</v>
      </c>
      <c r="CH134" s="305">
        <v>212500</v>
      </c>
      <c r="CI134" s="305">
        <f t="shared" si="39"/>
        <v>63750</v>
      </c>
      <c r="CJ134" s="306">
        <f t="shared" si="40"/>
        <v>148750</v>
      </c>
      <c r="CK134" s="307" t="e">
        <f>CJ134-#REF!</f>
        <v>#REF!</v>
      </c>
      <c r="CL134" s="592">
        <v>212500</v>
      </c>
      <c r="CM134" s="21">
        <f t="shared" si="52"/>
        <v>1</v>
      </c>
      <c r="CN134" s="21">
        <f t="shared" si="53"/>
        <v>3.3333333333333335</v>
      </c>
      <c r="CO134" s="54"/>
      <c r="CP134" s="625">
        <f t="shared" si="54"/>
        <v>130</v>
      </c>
      <c r="CQ134" s="626">
        <f t="shared" si="55"/>
        <v>110</v>
      </c>
      <c r="CR134" s="624" t="str">
        <f t="shared" si="56"/>
        <v>A</v>
      </c>
      <c r="CS134" s="634">
        <f t="shared" si="57"/>
        <v>306</v>
      </c>
      <c r="CT134" s="591">
        <f t="shared" si="43"/>
        <v>1130000</v>
      </c>
      <c r="CU134" s="591">
        <f t="shared" si="48"/>
        <v>382.5</v>
      </c>
      <c r="CV134" s="591">
        <v>1500</v>
      </c>
      <c r="CW134" s="54"/>
      <c r="CX134" s="54"/>
      <c r="CY134" s="54"/>
      <c r="CZ134" s="54"/>
      <c r="DA134" s="54">
        <v>1.6875</v>
      </c>
      <c r="DB134" s="54">
        <v>6.25</v>
      </c>
      <c r="DC134" s="649">
        <f t="shared" si="58"/>
        <v>3.2544</v>
      </c>
    </row>
    <row r="135" spans="1:107" ht="12.75">
      <c r="A135" s="24" t="s">
        <v>471</v>
      </c>
      <c r="B135" s="69" t="s">
        <v>471</v>
      </c>
      <c r="C135" s="308" t="s">
        <v>827</v>
      </c>
      <c r="D135" s="122">
        <v>40</v>
      </c>
      <c r="E135" s="120" t="s">
        <v>1140</v>
      </c>
      <c r="F135" s="15">
        <v>3</v>
      </c>
      <c r="G135" s="18">
        <v>1</v>
      </c>
      <c r="H135" s="17">
        <v>2</v>
      </c>
      <c r="I135" s="323">
        <v>0</v>
      </c>
      <c r="J135" s="187">
        <v>2</v>
      </c>
      <c r="K135" s="188">
        <v>3</v>
      </c>
      <c r="L135" s="867">
        <v>210</v>
      </c>
      <c r="M135" s="884">
        <v>22</v>
      </c>
      <c r="N135" s="106">
        <v>400</v>
      </c>
      <c r="O135" s="454">
        <v>10</v>
      </c>
      <c r="P135" s="531">
        <v>10</v>
      </c>
      <c r="Q135" s="340">
        <v>242</v>
      </c>
      <c r="R135" s="98">
        <v>320</v>
      </c>
      <c r="S135" s="326">
        <f t="shared" si="47"/>
        <v>663.2549999999999</v>
      </c>
      <c r="T135" s="342">
        <v>1072</v>
      </c>
      <c r="U135" s="343">
        <v>22100</v>
      </c>
      <c r="V135" s="344">
        <v>2500</v>
      </c>
      <c r="W135" s="289">
        <v>2.88</v>
      </c>
      <c r="X135" s="340">
        <v>386</v>
      </c>
      <c r="Y135" s="43">
        <v>50</v>
      </c>
      <c r="Z135" s="44">
        <v>20</v>
      </c>
      <c r="AA135" s="44">
        <v>25</v>
      </c>
      <c r="AB135" s="49">
        <v>35</v>
      </c>
      <c r="AC135" s="345">
        <v>160</v>
      </c>
      <c r="AD135" s="312">
        <v>510</v>
      </c>
      <c r="AE135" s="292">
        <f t="shared" si="46"/>
        <v>0.3137254901960784</v>
      </c>
      <c r="AF135" s="43">
        <v>0</v>
      </c>
      <c r="AG135" s="44">
        <v>50</v>
      </c>
      <c r="AH135" s="44">
        <v>40</v>
      </c>
      <c r="AI135" s="45">
        <v>20</v>
      </c>
      <c r="AJ135" s="5">
        <f t="shared" si="50"/>
        <v>788</v>
      </c>
      <c r="AK135" s="103" t="str">
        <f t="shared" si="49"/>
        <v>A</v>
      </c>
      <c r="AL135" s="862">
        <v>156</v>
      </c>
      <c r="AM135" s="458">
        <v>117.19</v>
      </c>
      <c r="AN135" s="295">
        <f t="shared" si="37"/>
        <v>1.3311716016724977</v>
      </c>
      <c r="AO135" s="145">
        <v>34</v>
      </c>
      <c r="AP135" s="85" t="s">
        <v>175</v>
      </c>
      <c r="AQ135" s="297">
        <v>445</v>
      </c>
      <c r="AR135" s="33">
        <v>8</v>
      </c>
      <c r="AS135" s="34"/>
      <c r="AT135" s="34"/>
      <c r="AU135" s="73"/>
      <c r="AV135" s="39">
        <v>43</v>
      </c>
      <c r="AW135" s="143">
        <v>296</v>
      </c>
      <c r="AX135" s="33"/>
      <c r="AY135" s="34"/>
      <c r="AZ135" s="34"/>
      <c r="BA135" s="84"/>
      <c r="BB135" s="586">
        <v>6</v>
      </c>
      <c r="BC135" s="590">
        <v>1.67E-06</v>
      </c>
      <c r="BD135" s="588">
        <f t="shared" si="51"/>
        <v>54.4619715792296</v>
      </c>
      <c r="BE135" s="299"/>
      <c r="BF135" s="300"/>
      <c r="BG135" s="112"/>
      <c r="BH135" s="541"/>
      <c r="BI135" s="301">
        <v>3</v>
      </c>
      <c r="BJ135" s="696" t="s">
        <v>1476</v>
      </c>
      <c r="BK135" s="13" t="s">
        <v>600</v>
      </c>
      <c r="BL135" s="303" t="s">
        <v>167</v>
      </c>
      <c r="BM135" s="86" t="s">
        <v>1281</v>
      </c>
      <c r="BN135" s="303" t="s">
        <v>104</v>
      </c>
      <c r="BO135" s="86"/>
      <c r="BP135" s="1"/>
      <c r="BR135" s="1">
        <v>98</v>
      </c>
      <c r="BS135" s="21">
        <v>29248</v>
      </c>
      <c r="BT135" s="605"/>
      <c r="BU135" s="600">
        <v>2</v>
      </c>
      <c r="BV135" s="601">
        <v>0.4</v>
      </c>
      <c r="BW135" s="329">
        <f t="shared" si="42"/>
        <v>320</v>
      </c>
      <c r="BX135" s="329">
        <f>IF($F135&gt;0,$BW135*$D$208,"")</f>
        <v>408</v>
      </c>
      <c r="BY135" s="329">
        <f>IF($F135&gt;1,$BX135*$D$209,"")</f>
        <v>520.1999999999999</v>
      </c>
      <c r="BZ135" s="329">
        <f>IF($F135&gt;2,$BY135*$D$210,"")</f>
        <v>663.2549999999999</v>
      </c>
      <c r="CA135" s="329">
        <f>IF($F135&gt;3,$BZ135*$D$211,"")</f>
      </c>
      <c r="CB135" s="329">
        <f>IF($F135&gt;4,$CA135*$D$212,"")</f>
      </c>
      <c r="CC135" s="329">
        <f>IF($F135&gt;5,$CB135*$D$213,"")</f>
      </c>
      <c r="CD135" s="329">
        <f>IF($F135&gt;6,$CC135*$D$214,"")</f>
      </c>
      <c r="CE135" s="485" t="s">
        <v>1096</v>
      </c>
      <c r="CF135" s="856" t="s">
        <v>1105</v>
      </c>
      <c r="CG135" s="440"/>
      <c r="CH135" s="305"/>
      <c r="CI135" s="305">
        <f t="shared" si="39"/>
        <v>0</v>
      </c>
      <c r="CJ135" s="306">
        <f t="shared" si="40"/>
        <v>0</v>
      </c>
      <c r="CK135" s="307" t="e">
        <f>CJ135-#REF!</f>
        <v>#REF!</v>
      </c>
      <c r="CL135" s="54"/>
      <c r="CM135" s="21" t="e">
        <f t="shared" si="52"/>
        <v>#DIV/0!</v>
      </c>
      <c r="CN135" s="21" t="e">
        <f t="shared" si="53"/>
        <v>#DIV/0!</v>
      </c>
      <c r="CO135" s="54"/>
      <c r="CP135" s="625">
        <f t="shared" si="54"/>
        <v>130</v>
      </c>
      <c r="CQ135" s="626">
        <f t="shared" si="55"/>
        <v>110</v>
      </c>
      <c r="CR135" s="624" t="str">
        <f t="shared" si="56"/>
        <v>A</v>
      </c>
      <c r="CS135" s="634">
        <f t="shared" si="57"/>
        <v>296</v>
      </c>
      <c r="CT135" s="591">
        <f t="shared" si="43"/>
        <v>1072000</v>
      </c>
      <c r="CU135" s="591">
        <f t="shared" si="48"/>
        <v>370</v>
      </c>
      <c r="CV135" s="591">
        <v>1500</v>
      </c>
      <c r="CW135" s="54"/>
      <c r="CX135" s="54"/>
      <c r="CY135" s="54"/>
      <c r="CZ135" s="54"/>
      <c r="DA135" s="54">
        <v>1.6875</v>
      </c>
      <c r="DB135" s="54">
        <v>6.25</v>
      </c>
      <c r="DC135" s="649">
        <f t="shared" si="58"/>
        <v>3.08736</v>
      </c>
    </row>
    <row r="136" spans="1:107" ht="12.75">
      <c r="A136" s="24" t="s">
        <v>1712</v>
      </c>
      <c r="B136" s="69" t="s">
        <v>1712</v>
      </c>
      <c r="C136" s="308" t="s">
        <v>827</v>
      </c>
      <c r="D136" s="122">
        <v>40</v>
      </c>
      <c r="E136" s="120" t="s">
        <v>1140</v>
      </c>
      <c r="F136" s="15">
        <v>4</v>
      </c>
      <c r="G136" s="18">
        <v>2</v>
      </c>
      <c r="H136" s="17">
        <v>4</v>
      </c>
      <c r="I136" s="16">
        <v>0</v>
      </c>
      <c r="J136" s="741">
        <v>3</v>
      </c>
      <c r="K136" s="188">
        <v>3</v>
      </c>
      <c r="L136" s="867">
        <v>115</v>
      </c>
      <c r="M136" s="884">
        <v>45</v>
      </c>
      <c r="N136" s="106">
        <v>400</v>
      </c>
      <c r="O136" s="454">
        <v>0</v>
      </c>
      <c r="P136" s="531">
        <v>0</v>
      </c>
      <c r="Q136" s="340">
        <v>391</v>
      </c>
      <c r="R136" s="98">
        <v>135</v>
      </c>
      <c r="S136" s="326">
        <f t="shared" si="47"/>
        <v>356.75864648437494</v>
      </c>
      <c r="T136" s="342">
        <v>1047</v>
      </c>
      <c r="U136" s="343">
        <v>28600</v>
      </c>
      <c r="V136" s="344">
        <v>2500</v>
      </c>
      <c r="W136" s="289">
        <v>2.95</v>
      </c>
      <c r="X136" s="340">
        <v>469</v>
      </c>
      <c r="Y136" s="729">
        <v>50</v>
      </c>
      <c r="Z136" s="730">
        <v>20</v>
      </c>
      <c r="AA136" s="730">
        <v>25</v>
      </c>
      <c r="AB136" s="731">
        <v>35</v>
      </c>
      <c r="AC136" s="345">
        <v>391</v>
      </c>
      <c r="AD136" s="312">
        <v>625</v>
      </c>
      <c r="AE136" s="292">
        <f t="shared" si="46"/>
        <v>0.6256</v>
      </c>
      <c r="AF136" s="43">
        <v>0</v>
      </c>
      <c r="AG136" s="44">
        <v>50</v>
      </c>
      <c r="AH136" s="44">
        <v>40</v>
      </c>
      <c r="AI136" s="45">
        <v>20</v>
      </c>
      <c r="AJ136" s="5">
        <f t="shared" si="50"/>
        <v>1251</v>
      </c>
      <c r="AK136" s="103" t="str">
        <f t="shared" si="49"/>
        <v>A</v>
      </c>
      <c r="AL136" s="862">
        <v>425</v>
      </c>
      <c r="AM136" s="459">
        <v>281.25</v>
      </c>
      <c r="AN136" s="295">
        <f t="shared" si="37"/>
        <v>1.511111111111111</v>
      </c>
      <c r="AO136" s="145">
        <v>25</v>
      </c>
      <c r="AP136" s="85" t="s">
        <v>1267</v>
      </c>
      <c r="AQ136" s="297">
        <v>610</v>
      </c>
      <c r="AR136" s="33">
        <v>9</v>
      </c>
      <c r="AS136" s="34">
        <v>0</v>
      </c>
      <c r="AT136" s="34">
        <v>0</v>
      </c>
      <c r="AU136" s="73">
        <v>0</v>
      </c>
      <c r="AV136" s="39">
        <v>38</v>
      </c>
      <c r="AW136" s="143">
        <v>287</v>
      </c>
      <c r="AX136" s="33">
        <v>5</v>
      </c>
      <c r="AY136" s="34">
        <v>0</v>
      </c>
      <c r="AZ136" s="34">
        <v>0</v>
      </c>
      <c r="BA136" s="84">
        <v>0</v>
      </c>
      <c r="BB136" s="586">
        <v>6</v>
      </c>
      <c r="BC136" s="590">
        <v>1.67E-06</v>
      </c>
      <c r="BD136" s="588">
        <f t="shared" si="51"/>
        <v>151.91679677893495</v>
      </c>
      <c r="BE136" s="299"/>
      <c r="BF136" s="300"/>
      <c r="BG136" s="112"/>
      <c r="BH136" s="541"/>
      <c r="BI136" s="301">
        <v>6</v>
      </c>
      <c r="BJ136" s="696" t="s">
        <v>1476</v>
      </c>
      <c r="BK136" s="13" t="s">
        <v>136</v>
      </c>
      <c r="BL136" s="303" t="s">
        <v>700</v>
      </c>
      <c r="BM136" s="86" t="s">
        <v>1329</v>
      </c>
      <c r="BN136" s="303" t="s">
        <v>104</v>
      </c>
      <c r="BO136" s="86"/>
      <c r="BP136" s="1" t="s">
        <v>1330</v>
      </c>
      <c r="BR136" s="1">
        <v>80</v>
      </c>
      <c r="BS136" s="21">
        <v>597</v>
      </c>
      <c r="BT136" s="605"/>
      <c r="BU136" s="600">
        <v>3</v>
      </c>
      <c r="BV136" s="601">
        <v>0</v>
      </c>
      <c r="BW136" s="329">
        <f t="shared" si="42"/>
        <v>135</v>
      </c>
      <c r="BX136" s="329">
        <f>IF($F136&gt;0,$BW136*$D$208,"")</f>
        <v>172.125</v>
      </c>
      <c r="BY136" s="329">
        <f>IF($F136&gt;1,$BX136*$D$209,"")</f>
        <v>219.459375</v>
      </c>
      <c r="BZ136" s="329">
        <f>IF($F136&gt;2,$BY136*$D$210,"")</f>
        <v>279.810703125</v>
      </c>
      <c r="CA136" s="329">
        <f>IF($F136&gt;3,$BZ136*$D$211,"")</f>
        <v>356.75864648437494</v>
      </c>
      <c r="CB136" s="329">
        <f>IF($F136&gt;4,$CA136*$D$212,"")</f>
      </c>
      <c r="CC136" s="329">
        <f>IF($F136&gt;5,$CB136*$D$213,"")</f>
      </c>
      <c r="CD136" s="329">
        <f>IF($F136&gt;6,$CC136*$D$214,"")</f>
      </c>
      <c r="CE136" s="485" t="s">
        <v>1358</v>
      </c>
      <c r="CF136" s="853" t="s">
        <v>919</v>
      </c>
      <c r="CG136" s="440" t="s">
        <v>279</v>
      </c>
      <c r="CH136" s="305">
        <v>287500</v>
      </c>
      <c r="CI136" s="305">
        <f t="shared" si="39"/>
        <v>86250</v>
      </c>
      <c r="CJ136" s="306">
        <f t="shared" si="40"/>
        <v>201250</v>
      </c>
      <c r="CK136" s="307" t="e">
        <f>CJ136-#REF!</f>
        <v>#REF!</v>
      </c>
      <c r="CL136" s="592">
        <v>287500</v>
      </c>
      <c r="CM136" s="21">
        <f t="shared" si="52"/>
        <v>1</v>
      </c>
      <c r="CN136" s="21">
        <f t="shared" si="53"/>
        <v>3.3333333333333335</v>
      </c>
      <c r="CO136" s="54"/>
      <c r="CP136" s="625">
        <f t="shared" si="54"/>
        <v>130</v>
      </c>
      <c r="CQ136" s="626">
        <f t="shared" si="55"/>
        <v>110</v>
      </c>
      <c r="CR136" s="624" t="str">
        <f t="shared" si="56"/>
        <v>A</v>
      </c>
      <c r="CS136" s="634">
        <f t="shared" si="57"/>
        <v>287</v>
      </c>
      <c r="CT136" s="591">
        <f t="shared" si="43"/>
        <v>1047000</v>
      </c>
      <c r="CU136" s="591">
        <f t="shared" si="48"/>
        <v>358.75</v>
      </c>
      <c r="CV136" s="591">
        <v>1500</v>
      </c>
      <c r="CW136" s="54"/>
      <c r="CX136" s="54"/>
      <c r="CY136" s="54"/>
      <c r="CZ136" s="54"/>
      <c r="DA136" s="54">
        <v>1.6875</v>
      </c>
      <c r="DB136" s="54">
        <v>6.25</v>
      </c>
      <c r="DC136" s="649">
        <f t="shared" si="58"/>
        <v>3.08865</v>
      </c>
    </row>
    <row r="137" spans="1:107" ht="12.75">
      <c r="A137" s="24" t="s">
        <v>1332</v>
      </c>
      <c r="B137" s="69" t="s">
        <v>1332</v>
      </c>
      <c r="C137" s="308" t="s">
        <v>827</v>
      </c>
      <c r="D137" s="122">
        <v>40</v>
      </c>
      <c r="E137" s="120" t="s">
        <v>1140</v>
      </c>
      <c r="F137" s="15">
        <v>3</v>
      </c>
      <c r="G137" s="18">
        <v>1</v>
      </c>
      <c r="H137" s="17">
        <v>2</v>
      </c>
      <c r="I137" s="16">
        <v>0</v>
      </c>
      <c r="J137" s="187">
        <v>2</v>
      </c>
      <c r="K137" s="188">
        <v>3</v>
      </c>
      <c r="L137" s="867">
        <v>140</v>
      </c>
      <c r="M137" s="884">
        <v>15</v>
      </c>
      <c r="N137" s="106">
        <v>400</v>
      </c>
      <c r="O137" s="454">
        <v>5</v>
      </c>
      <c r="P137" s="531">
        <v>5</v>
      </c>
      <c r="Q137" s="340">
        <v>235</v>
      </c>
      <c r="R137" s="814">
        <v>235</v>
      </c>
      <c r="S137" s="815">
        <f t="shared" si="47"/>
        <v>487.0778906249999</v>
      </c>
      <c r="T137" s="342">
        <v>1180</v>
      </c>
      <c r="U137" s="343">
        <v>24398</v>
      </c>
      <c r="V137" s="344">
        <v>2500</v>
      </c>
      <c r="W137" s="289">
        <v>3.12</v>
      </c>
      <c r="X137" s="340">
        <v>243</v>
      </c>
      <c r="Y137" s="43">
        <v>50</v>
      </c>
      <c r="Z137" s="44">
        <v>20</v>
      </c>
      <c r="AA137" s="44">
        <v>25</v>
      </c>
      <c r="AB137" s="49">
        <v>35</v>
      </c>
      <c r="AC137" s="345">
        <v>118</v>
      </c>
      <c r="AD137" s="312">
        <v>625</v>
      </c>
      <c r="AE137" s="292">
        <f t="shared" si="46"/>
        <v>0.1888</v>
      </c>
      <c r="AF137" s="43">
        <v>0</v>
      </c>
      <c r="AG137" s="44">
        <v>50</v>
      </c>
      <c r="AH137" s="44">
        <v>40</v>
      </c>
      <c r="AI137" s="45">
        <v>20</v>
      </c>
      <c r="AJ137" s="5">
        <f t="shared" si="50"/>
        <v>596</v>
      </c>
      <c r="AK137" s="103" t="str">
        <f t="shared" si="49"/>
        <v>A</v>
      </c>
      <c r="AL137" s="862">
        <v>125</v>
      </c>
      <c r="AM137" s="458">
        <v>93.75</v>
      </c>
      <c r="AN137" s="295">
        <f t="shared" si="37"/>
        <v>1.3333333333333333</v>
      </c>
      <c r="AO137" s="145">
        <v>25</v>
      </c>
      <c r="AP137" s="85" t="s">
        <v>175</v>
      </c>
      <c r="AQ137" s="297">
        <v>510</v>
      </c>
      <c r="AR137" s="33">
        <v>5</v>
      </c>
      <c r="AS137" s="34">
        <v>0</v>
      </c>
      <c r="AT137" s="34">
        <v>0</v>
      </c>
      <c r="AU137" s="73">
        <v>0</v>
      </c>
      <c r="AV137" s="39">
        <v>45</v>
      </c>
      <c r="AW137" s="143">
        <v>301</v>
      </c>
      <c r="AX137" s="33">
        <v>4</v>
      </c>
      <c r="AY137" s="34">
        <v>0</v>
      </c>
      <c r="AZ137" s="34">
        <v>0</v>
      </c>
      <c r="BA137" s="84">
        <v>0</v>
      </c>
      <c r="BB137" s="586">
        <v>6</v>
      </c>
      <c r="BC137" s="590">
        <v>1.67E-06</v>
      </c>
      <c r="BD137" s="588">
        <f t="shared" si="51"/>
        <v>39.64528569978687</v>
      </c>
      <c r="BE137" s="299"/>
      <c r="BF137" s="300"/>
      <c r="BG137" s="112"/>
      <c r="BH137" s="541"/>
      <c r="BI137" s="301">
        <v>1</v>
      </c>
      <c r="BJ137" s="696" t="s">
        <v>1476</v>
      </c>
      <c r="BK137" s="13" t="s">
        <v>722</v>
      </c>
      <c r="BL137" s="303" t="s">
        <v>645</v>
      </c>
      <c r="BM137" s="86" t="s">
        <v>376</v>
      </c>
      <c r="BN137" s="303" t="s">
        <v>104</v>
      </c>
      <c r="BO137" s="86"/>
      <c r="BP137" s="1" t="s">
        <v>377</v>
      </c>
      <c r="BR137" s="1">
        <v>61</v>
      </c>
      <c r="BS137" s="21">
        <v>591</v>
      </c>
      <c r="BT137" s="605" t="s">
        <v>214</v>
      </c>
      <c r="BU137" s="610">
        <v>2</v>
      </c>
      <c r="BV137" s="601">
        <v>0.2</v>
      </c>
      <c r="BW137" s="388">
        <f>$R137+IF(AND($C137="Amarr",$D137=40),($R137*0.05*$G$212),IF(AND($C137="Caldari",$D137=40),($R137*0.05*$G$213),IF(AND($C137="Gallente",$D137=40),(R137*0.05*$G$214),IF(AND($C137="Minmatar",$D137=40),($R137*0.05*$G$215),""))))</f>
        <v>235</v>
      </c>
      <c r="BX137" s="329">
        <f>IF($F137&gt;0,$BW137*$D$208,"")</f>
        <v>299.625</v>
      </c>
      <c r="BY137" s="329">
        <f>IF($F137&gt;1,$BX137*$D$209,"")</f>
        <v>382.02187499999997</v>
      </c>
      <c r="BZ137" s="329">
        <f>IF($F137&gt;2,$BY137*$D$210,"")</f>
        <v>487.0778906249999</v>
      </c>
      <c r="CA137" s="329">
        <f>IF($F137&gt;3,$BZ137*$D$211,"")</f>
      </c>
      <c r="CB137" s="329">
        <f>IF($F137&gt;4,$CA137*$D$212,"")</f>
      </c>
      <c r="CC137" s="329">
        <f>IF($F137&gt;5,$CB137*$D$213,"")</f>
      </c>
      <c r="CD137" s="329">
        <f>IF($F137&gt;6,$CC137*$D$214,"")</f>
      </c>
      <c r="CE137" s="485" t="s">
        <v>1256</v>
      </c>
      <c r="CF137" s="853" t="s">
        <v>919</v>
      </c>
      <c r="CG137" s="440" t="s">
        <v>566</v>
      </c>
      <c r="CH137" s="305">
        <v>24250</v>
      </c>
      <c r="CI137" s="305">
        <f t="shared" si="39"/>
        <v>7275</v>
      </c>
      <c r="CJ137" s="306">
        <f t="shared" si="40"/>
        <v>16975</v>
      </c>
      <c r="CK137" s="307" t="e">
        <f>CJ137-#REF!</f>
        <v>#REF!</v>
      </c>
      <c r="CL137" s="592">
        <v>24250</v>
      </c>
      <c r="CM137" s="21">
        <f t="shared" si="52"/>
        <v>1</v>
      </c>
      <c r="CN137" s="21">
        <f t="shared" si="53"/>
        <v>3.3333333333333335</v>
      </c>
      <c r="CO137" s="54"/>
      <c r="CP137" s="625">
        <f t="shared" si="54"/>
        <v>130</v>
      </c>
      <c r="CQ137" s="626">
        <f t="shared" si="55"/>
        <v>110</v>
      </c>
      <c r="CR137" s="624" t="str">
        <f t="shared" si="56"/>
        <v>A</v>
      </c>
      <c r="CS137" s="634">
        <f t="shared" si="57"/>
        <v>301</v>
      </c>
      <c r="CT137" s="591">
        <f t="shared" si="43"/>
        <v>1180000</v>
      </c>
      <c r="CU137" s="591">
        <f t="shared" si="48"/>
        <v>376.25</v>
      </c>
      <c r="CV137" s="591">
        <v>1500</v>
      </c>
      <c r="CW137" s="54"/>
      <c r="CX137" s="54"/>
      <c r="CY137" s="54"/>
      <c r="CZ137" s="54"/>
      <c r="DA137" s="54">
        <v>1.6875</v>
      </c>
      <c r="DB137" s="54">
        <v>6.25</v>
      </c>
      <c r="DC137" s="649">
        <f t="shared" si="58"/>
        <v>3.6816</v>
      </c>
    </row>
    <row r="138" spans="1:107" ht="12.75">
      <c r="A138" s="24" t="s">
        <v>379</v>
      </c>
      <c r="B138" s="69" t="s">
        <v>379</v>
      </c>
      <c r="C138" s="636" t="s">
        <v>865</v>
      </c>
      <c r="D138" s="122">
        <v>40</v>
      </c>
      <c r="E138" s="120" t="s">
        <v>1140</v>
      </c>
      <c r="F138" s="15">
        <v>2</v>
      </c>
      <c r="G138" s="18">
        <v>2</v>
      </c>
      <c r="H138" s="17">
        <v>2</v>
      </c>
      <c r="I138" s="16">
        <v>0</v>
      </c>
      <c r="J138" s="187">
        <v>2</v>
      </c>
      <c r="K138" s="188">
        <v>3</v>
      </c>
      <c r="L138" s="867">
        <v>150</v>
      </c>
      <c r="M138" s="884">
        <v>15</v>
      </c>
      <c r="N138" s="106">
        <v>400</v>
      </c>
      <c r="O138" s="454">
        <v>5</v>
      </c>
      <c r="P138" s="531">
        <v>5</v>
      </c>
      <c r="Q138" s="340">
        <v>188</v>
      </c>
      <c r="R138" s="816">
        <v>235</v>
      </c>
      <c r="S138" s="817">
        <f t="shared" si="47"/>
        <v>382.02187499999997</v>
      </c>
      <c r="T138" s="342">
        <v>1155</v>
      </c>
      <c r="U138" s="343">
        <v>20000</v>
      </c>
      <c r="V138" s="344">
        <v>2500</v>
      </c>
      <c r="W138" s="289">
        <v>2.53</v>
      </c>
      <c r="X138" s="340">
        <v>188</v>
      </c>
      <c r="Y138" s="43">
        <v>50</v>
      </c>
      <c r="Z138" s="44">
        <v>10</v>
      </c>
      <c r="AA138" s="44">
        <v>25</v>
      </c>
      <c r="AB138" s="49">
        <v>45</v>
      </c>
      <c r="AC138" s="345">
        <v>156</v>
      </c>
      <c r="AD138" s="312">
        <v>625</v>
      </c>
      <c r="AE138" s="292">
        <f t="shared" si="46"/>
        <v>0.2496</v>
      </c>
      <c r="AF138" s="43">
        <v>0</v>
      </c>
      <c r="AG138" s="44">
        <v>50</v>
      </c>
      <c r="AH138" s="44">
        <v>40</v>
      </c>
      <c r="AI138" s="45">
        <v>20</v>
      </c>
      <c r="AJ138" s="5">
        <f t="shared" si="50"/>
        <v>532</v>
      </c>
      <c r="AK138" s="103" t="str">
        <f t="shared" si="49"/>
        <v>A</v>
      </c>
      <c r="AL138" s="862">
        <v>125</v>
      </c>
      <c r="AM138" s="458">
        <v>93.75</v>
      </c>
      <c r="AN138" s="295">
        <f t="shared" si="37"/>
        <v>1.3333333333333333</v>
      </c>
      <c r="AO138" s="145">
        <v>30</v>
      </c>
      <c r="AP138" s="85" t="s">
        <v>175</v>
      </c>
      <c r="AQ138" s="297">
        <v>480</v>
      </c>
      <c r="AR138" s="33">
        <v>0</v>
      </c>
      <c r="AS138" s="34">
        <v>7</v>
      </c>
      <c r="AT138" s="34">
        <v>0</v>
      </c>
      <c r="AU138" s="73">
        <v>0</v>
      </c>
      <c r="AV138" s="39">
        <v>44</v>
      </c>
      <c r="AW138" s="143">
        <v>296</v>
      </c>
      <c r="AX138" s="33">
        <v>0</v>
      </c>
      <c r="AY138" s="34">
        <v>3</v>
      </c>
      <c r="AZ138" s="34">
        <v>0</v>
      </c>
      <c r="BA138" s="84">
        <v>0</v>
      </c>
      <c r="BB138" s="586">
        <v>6</v>
      </c>
      <c r="BC138" s="590">
        <v>2.68E-06</v>
      </c>
      <c r="BD138" s="588">
        <f t="shared" si="51"/>
        <v>25.239064418168894</v>
      </c>
      <c r="BE138" s="299"/>
      <c r="BF138" s="300"/>
      <c r="BG138" s="112"/>
      <c r="BH138" s="541"/>
      <c r="BI138" s="301">
        <v>1</v>
      </c>
      <c r="BJ138" s="696" t="s">
        <v>1476</v>
      </c>
      <c r="BK138" s="13" t="s">
        <v>722</v>
      </c>
      <c r="BL138" s="303" t="s">
        <v>913</v>
      </c>
      <c r="BM138" s="86" t="s">
        <v>1367</v>
      </c>
      <c r="BN138" s="303" t="s">
        <v>104</v>
      </c>
      <c r="BO138" s="86"/>
      <c r="BP138" s="1" t="s">
        <v>1368</v>
      </c>
      <c r="BQ138" t="s">
        <v>1369</v>
      </c>
      <c r="BR138" s="1">
        <v>62</v>
      </c>
      <c r="BS138" s="21">
        <v>582</v>
      </c>
      <c r="BT138" s="605" t="s">
        <v>214</v>
      </c>
      <c r="BU138" s="610">
        <v>2</v>
      </c>
      <c r="BV138" s="601">
        <v>0.2</v>
      </c>
      <c r="BW138" s="388">
        <f>$R138+IF(AND($C138="Amarr",$D138=40),($R138*0.05*$G$212),IF(AND($C138="Caldari",$D138=40),($R138*0.05*$G$213),IF(AND($C138="Gallente",$D138=40),(R138*0.05*$G$214),IF(AND($C138="Minmatar",$D138=40),($R138*0.05*$G$215),""))))</f>
        <v>235</v>
      </c>
      <c r="BX138" s="329">
        <f>IF($F138&gt;0,$BW138*$D$208,"")</f>
        <v>299.625</v>
      </c>
      <c r="BY138" s="329">
        <f>IF($F138&gt;1,$BX138*$D$209,"")</f>
        <v>382.02187499999997</v>
      </c>
      <c r="BZ138" s="329">
        <f>IF($F138&gt;2,$BY138*$D$210,"")</f>
      </c>
      <c r="CA138" s="329">
        <f>IF($F138&gt;3,$BZ138*$D$211,"")</f>
      </c>
      <c r="CB138" s="329">
        <f>IF($F138&gt;4,$CA138*$D$212,"")</f>
      </c>
      <c r="CC138" s="329">
        <f>IF($F138&gt;5,$CB138*$D$213,"")</f>
      </c>
      <c r="CD138" s="329">
        <f>IF($F138&gt;6,$CC138*$D$214,"")</f>
      </c>
      <c r="CE138" s="485" t="s">
        <v>1352</v>
      </c>
      <c r="CF138" s="853" t="s">
        <v>919</v>
      </c>
      <c r="CG138" s="440" t="s">
        <v>567</v>
      </c>
      <c r="CH138" s="305">
        <v>23500</v>
      </c>
      <c r="CI138" s="305">
        <f t="shared" si="39"/>
        <v>7050</v>
      </c>
      <c r="CJ138" s="306">
        <f t="shared" si="40"/>
        <v>16450</v>
      </c>
      <c r="CK138" s="307" t="e">
        <f>CJ138-#REF!</f>
        <v>#REF!</v>
      </c>
      <c r="CL138" s="592">
        <v>23500</v>
      </c>
      <c r="CM138" s="21">
        <f t="shared" si="52"/>
        <v>1</v>
      </c>
      <c r="CN138" s="21">
        <f t="shared" si="53"/>
        <v>3.3333333333333335</v>
      </c>
      <c r="CO138" s="54"/>
      <c r="CP138" s="625">
        <f t="shared" si="54"/>
        <v>130</v>
      </c>
      <c r="CQ138" s="626">
        <f t="shared" si="55"/>
        <v>110</v>
      </c>
      <c r="CR138" s="624" t="str">
        <f t="shared" si="56"/>
        <v>A</v>
      </c>
      <c r="CS138" s="634">
        <f t="shared" si="57"/>
        <v>296</v>
      </c>
      <c r="CT138" s="591">
        <f t="shared" si="43"/>
        <v>1155000</v>
      </c>
      <c r="CU138" s="591">
        <f t="shared" si="48"/>
        <v>370</v>
      </c>
      <c r="CV138" s="591">
        <v>1500</v>
      </c>
      <c r="CW138" s="54"/>
      <c r="CX138" s="54"/>
      <c r="CY138" s="54"/>
      <c r="CZ138" s="54"/>
      <c r="DA138" s="54">
        <v>1.6875</v>
      </c>
      <c r="DB138" s="54">
        <v>6.25</v>
      </c>
      <c r="DC138" s="649">
        <f t="shared" si="58"/>
        <v>2.92215</v>
      </c>
    </row>
    <row r="139" spans="1:107" ht="12.75">
      <c r="A139" s="24" t="s">
        <v>41</v>
      </c>
      <c r="B139" s="69" t="s">
        <v>41</v>
      </c>
      <c r="C139" s="636" t="s">
        <v>865</v>
      </c>
      <c r="D139" s="122">
        <v>40</v>
      </c>
      <c r="E139" s="120" t="s">
        <v>1140</v>
      </c>
      <c r="F139" s="15">
        <v>1</v>
      </c>
      <c r="G139" s="18">
        <v>2</v>
      </c>
      <c r="H139" s="17">
        <v>3</v>
      </c>
      <c r="I139" s="740">
        <v>2</v>
      </c>
      <c r="J139" s="187">
        <v>1</v>
      </c>
      <c r="K139" s="188">
        <v>3</v>
      </c>
      <c r="L139" s="867">
        <v>100</v>
      </c>
      <c r="M139" s="884">
        <v>25</v>
      </c>
      <c r="N139" s="106">
        <v>400</v>
      </c>
      <c r="O139" s="454">
        <v>0</v>
      </c>
      <c r="P139" s="531">
        <v>0</v>
      </c>
      <c r="Q139" s="340">
        <v>195</v>
      </c>
      <c r="R139" s="98">
        <v>150</v>
      </c>
      <c r="S139" s="326">
        <f t="shared" si="47"/>
        <v>191.25</v>
      </c>
      <c r="T139" s="342">
        <v>1185</v>
      </c>
      <c r="U139" s="343">
        <v>18000</v>
      </c>
      <c r="V139" s="344">
        <v>2500</v>
      </c>
      <c r="W139" s="289">
        <v>1.83</v>
      </c>
      <c r="X139" s="340">
        <v>226</v>
      </c>
      <c r="Y139" s="43">
        <v>50</v>
      </c>
      <c r="Z139" s="44">
        <v>10</v>
      </c>
      <c r="AA139" s="44">
        <v>25</v>
      </c>
      <c r="AB139" s="49">
        <v>45</v>
      </c>
      <c r="AC139" s="345">
        <v>274</v>
      </c>
      <c r="AD139" s="312">
        <v>625</v>
      </c>
      <c r="AE139" s="292">
        <f t="shared" si="46"/>
        <v>0.4384</v>
      </c>
      <c r="AF139" s="43">
        <v>0</v>
      </c>
      <c r="AG139" s="44">
        <v>50</v>
      </c>
      <c r="AH139" s="44">
        <v>40</v>
      </c>
      <c r="AI139" s="45">
        <v>20</v>
      </c>
      <c r="AJ139" s="5">
        <f t="shared" si="50"/>
        <v>695</v>
      </c>
      <c r="AK139" s="103" t="str">
        <f t="shared" si="49"/>
        <v>S</v>
      </c>
      <c r="AL139" s="862">
        <v>156</v>
      </c>
      <c r="AM139" s="458">
        <v>93.75</v>
      </c>
      <c r="AN139" s="295">
        <f t="shared" si="37"/>
        <v>1.664</v>
      </c>
      <c r="AO139" s="145">
        <v>25</v>
      </c>
      <c r="AP139" s="85" t="s">
        <v>463</v>
      </c>
      <c r="AQ139" s="297">
        <v>635</v>
      </c>
      <c r="AR139" s="33">
        <v>0</v>
      </c>
      <c r="AS139" s="34">
        <v>8</v>
      </c>
      <c r="AT139" s="34">
        <v>0</v>
      </c>
      <c r="AU139" s="73">
        <v>0</v>
      </c>
      <c r="AV139" s="39">
        <v>37</v>
      </c>
      <c r="AW139" s="143">
        <v>404</v>
      </c>
      <c r="AX139" s="33">
        <v>0</v>
      </c>
      <c r="AY139" s="34">
        <v>3</v>
      </c>
      <c r="AZ139" s="34">
        <v>0</v>
      </c>
      <c r="BA139" s="84">
        <v>0</v>
      </c>
      <c r="BB139" s="586">
        <v>6</v>
      </c>
      <c r="BC139" s="590">
        <v>2.68E-06</v>
      </c>
      <c r="BD139" s="588">
        <f t="shared" si="51"/>
        <v>30.700925750991875</v>
      </c>
      <c r="BE139" s="299"/>
      <c r="BF139" s="300"/>
      <c r="BG139" s="112"/>
      <c r="BH139" s="541"/>
      <c r="BI139" s="301">
        <v>2</v>
      </c>
      <c r="BJ139" s="696" t="s">
        <v>1476</v>
      </c>
      <c r="BK139" s="13" t="s">
        <v>1754</v>
      </c>
      <c r="BL139" s="303" t="s">
        <v>1047</v>
      </c>
      <c r="BM139" s="86" t="s">
        <v>1075</v>
      </c>
      <c r="BN139" s="303" t="s">
        <v>104</v>
      </c>
      <c r="BO139" s="86"/>
      <c r="BP139" s="1" t="s">
        <v>41</v>
      </c>
      <c r="BR139" s="1">
        <v>66</v>
      </c>
      <c r="BS139" s="21">
        <v>583</v>
      </c>
      <c r="BT139" s="605"/>
      <c r="BU139" s="600">
        <v>2.5</v>
      </c>
      <c r="BV139" s="601">
        <v>0</v>
      </c>
      <c r="BW139" s="386">
        <f aca="true" t="shared" si="59" ref="BW139:BW147">$R139</f>
        <v>150</v>
      </c>
      <c r="BX139" s="329">
        <f>IF($F139&gt;0,$BW139*$D$208,"")</f>
        <v>191.25</v>
      </c>
      <c r="BY139" s="329">
        <f>IF($F139&gt;1,$BX139*$D$209,"")</f>
      </c>
      <c r="BZ139" s="329">
        <f>IF($F139&gt;2,$BY139*$D$210,"")</f>
      </c>
      <c r="CA139" s="329">
        <f>IF($F139&gt;3,$BZ139*$D$211,"")</f>
      </c>
      <c r="CB139" s="329">
        <f>IF($F139&gt;4,$CA139*$D$212,"")</f>
      </c>
      <c r="CC139" s="329">
        <f>IF($F139&gt;5,$CB139*$D$213,"")</f>
      </c>
      <c r="CD139" s="329">
        <f>IF($F139&gt;6,$CC139*$D$214,"")</f>
      </c>
      <c r="CE139" s="485" t="s">
        <v>1226</v>
      </c>
      <c r="CF139" s="853" t="s">
        <v>919</v>
      </c>
      <c r="CG139" s="440" t="s">
        <v>568</v>
      </c>
      <c r="CH139" s="305">
        <v>28750</v>
      </c>
      <c r="CI139" s="305">
        <f t="shared" si="39"/>
        <v>8625</v>
      </c>
      <c r="CJ139" s="306">
        <f t="shared" si="40"/>
        <v>20125</v>
      </c>
      <c r="CK139" s="307" t="e">
        <f>CJ139-#REF!</f>
        <v>#REF!</v>
      </c>
      <c r="CL139" s="592">
        <v>28750</v>
      </c>
      <c r="CM139" s="21">
        <f t="shared" si="52"/>
        <v>1</v>
      </c>
      <c r="CN139" s="21">
        <f t="shared" si="53"/>
        <v>3.3333333333333335</v>
      </c>
      <c r="CO139" s="54"/>
      <c r="CP139" s="622">
        <f t="shared" si="54"/>
        <v>130</v>
      </c>
      <c r="CQ139" s="623">
        <f t="shared" si="55"/>
        <v>110</v>
      </c>
      <c r="CR139" s="624" t="str">
        <f t="shared" si="56"/>
        <v>S</v>
      </c>
      <c r="CS139" s="634">
        <f t="shared" si="57"/>
        <v>404</v>
      </c>
      <c r="CT139" s="591">
        <f t="shared" si="43"/>
        <v>1185000</v>
      </c>
      <c r="CU139" s="591">
        <f t="shared" si="48"/>
        <v>505</v>
      </c>
      <c r="CV139" s="591">
        <v>1500</v>
      </c>
      <c r="CW139" s="54"/>
      <c r="CX139" s="54"/>
      <c r="CY139" s="54"/>
      <c r="CZ139" s="54"/>
      <c r="DA139" s="54">
        <v>1.6875</v>
      </c>
      <c r="DB139" s="54">
        <v>6.25</v>
      </c>
      <c r="DC139" s="649">
        <f t="shared" si="58"/>
        <v>2.16855</v>
      </c>
    </row>
    <row r="140" spans="1:107" ht="12.75">
      <c r="A140" s="24" t="s">
        <v>1077</v>
      </c>
      <c r="B140" s="69" t="s">
        <v>1077</v>
      </c>
      <c r="C140" s="636" t="s">
        <v>865</v>
      </c>
      <c r="D140" s="122">
        <v>40</v>
      </c>
      <c r="E140" s="120" t="s">
        <v>1140</v>
      </c>
      <c r="F140" s="15">
        <v>1</v>
      </c>
      <c r="G140" s="739">
        <v>4</v>
      </c>
      <c r="H140" s="17">
        <v>3</v>
      </c>
      <c r="I140" s="323">
        <v>2</v>
      </c>
      <c r="J140" s="187">
        <v>1</v>
      </c>
      <c r="K140" s="188">
        <v>3</v>
      </c>
      <c r="L140" s="867">
        <v>225</v>
      </c>
      <c r="M140" s="884">
        <v>25</v>
      </c>
      <c r="N140" s="106">
        <v>400</v>
      </c>
      <c r="O140" s="454">
        <v>5</v>
      </c>
      <c r="P140" s="531">
        <v>5</v>
      </c>
      <c r="Q140" s="340">
        <v>250</v>
      </c>
      <c r="R140" s="98">
        <v>160</v>
      </c>
      <c r="S140" s="326">
        <f t="shared" si="47"/>
        <v>204</v>
      </c>
      <c r="T140" s="342">
        <v>1056</v>
      </c>
      <c r="U140" s="343">
        <v>19400</v>
      </c>
      <c r="V140" s="344">
        <v>2500</v>
      </c>
      <c r="W140" s="289">
        <v>2.35</v>
      </c>
      <c r="X140" s="340">
        <v>250</v>
      </c>
      <c r="Y140" s="43">
        <v>50</v>
      </c>
      <c r="Z140" s="44">
        <v>10</v>
      </c>
      <c r="AA140" s="44">
        <v>25</v>
      </c>
      <c r="AB140" s="49">
        <v>45</v>
      </c>
      <c r="AC140" s="345">
        <v>391</v>
      </c>
      <c r="AD140" s="312">
        <v>625</v>
      </c>
      <c r="AE140" s="292">
        <f t="shared" si="46"/>
        <v>0.6256</v>
      </c>
      <c r="AF140" s="43">
        <v>0</v>
      </c>
      <c r="AG140" s="44">
        <v>50</v>
      </c>
      <c r="AH140" s="44">
        <v>40</v>
      </c>
      <c r="AI140" s="45">
        <v>20</v>
      </c>
      <c r="AJ140" s="5">
        <f t="shared" si="50"/>
        <v>891</v>
      </c>
      <c r="AK140" s="103" t="str">
        <f t="shared" si="49"/>
        <v>S</v>
      </c>
      <c r="AL140" s="862">
        <v>250</v>
      </c>
      <c r="AM140" s="458">
        <v>187.5</v>
      </c>
      <c r="AN140" s="295">
        <f t="shared" si="37"/>
        <v>1.3333333333333333</v>
      </c>
      <c r="AO140" s="145">
        <v>60</v>
      </c>
      <c r="AP140" s="85" t="s">
        <v>1267</v>
      </c>
      <c r="AQ140" s="297">
        <v>400</v>
      </c>
      <c r="AR140" s="33">
        <v>0</v>
      </c>
      <c r="AS140" s="34">
        <v>17</v>
      </c>
      <c r="AT140" s="34">
        <v>0</v>
      </c>
      <c r="AU140" s="73">
        <v>0</v>
      </c>
      <c r="AV140" s="39">
        <v>50</v>
      </c>
      <c r="AW140" s="143">
        <v>287</v>
      </c>
      <c r="AX140" s="33">
        <v>0</v>
      </c>
      <c r="AY140" s="34">
        <v>4</v>
      </c>
      <c r="AZ140" s="34">
        <v>0</v>
      </c>
      <c r="BA140" s="84">
        <v>0</v>
      </c>
      <c r="BB140" s="586">
        <v>6</v>
      </c>
      <c r="BC140" s="590">
        <v>2.68E-06</v>
      </c>
      <c r="BD140" s="588">
        <f t="shared" si="51"/>
        <v>55.21045341474446</v>
      </c>
      <c r="BE140" s="299"/>
      <c r="BF140" s="300"/>
      <c r="BG140" s="112"/>
      <c r="BH140" s="541"/>
      <c r="BI140" s="301">
        <v>4</v>
      </c>
      <c r="BJ140" s="696" t="s">
        <v>1476</v>
      </c>
      <c r="BK140" s="13" t="s">
        <v>181</v>
      </c>
      <c r="BL140" s="303" t="s">
        <v>126</v>
      </c>
      <c r="BM140" s="86" t="s">
        <v>832</v>
      </c>
      <c r="BN140" s="303" t="s">
        <v>104</v>
      </c>
      <c r="BO140" s="86"/>
      <c r="BP140" s="1" t="s">
        <v>1474</v>
      </c>
      <c r="BR140" s="1">
        <v>85</v>
      </c>
      <c r="BS140" s="21">
        <v>584</v>
      </c>
      <c r="BT140" s="605" t="s">
        <v>214</v>
      </c>
      <c r="BU140" s="610">
        <v>3</v>
      </c>
      <c r="BV140" s="601">
        <v>0.2</v>
      </c>
      <c r="BW140" s="386">
        <f t="shared" si="59"/>
        <v>160</v>
      </c>
      <c r="BX140" s="329">
        <f>IF($F140&gt;0,$BW140*$D$208,"")</f>
        <v>204</v>
      </c>
      <c r="BY140" s="329">
        <f>IF($F140&gt;1,$BX140*$D$209,"")</f>
      </c>
      <c r="BZ140" s="329">
        <f>IF($F140&gt;2,$BY140*$D$210,"")</f>
      </c>
      <c r="CA140" s="329">
        <f>IF($F140&gt;3,$BZ140*$D$211,"")</f>
      </c>
      <c r="CB140" s="329">
        <f>IF($F140&gt;4,$CA140*$D$212,"")</f>
      </c>
      <c r="CC140" s="329">
        <f>IF($F140&gt;5,$CB140*$D$213,"")</f>
      </c>
      <c r="CD140" s="329">
        <f>IF($F140&gt;6,$CC140*$D$214,"")</f>
      </c>
      <c r="CE140" s="485" t="s">
        <v>1630</v>
      </c>
      <c r="CF140" s="853" t="s">
        <v>919</v>
      </c>
      <c r="CG140" s="440" t="s">
        <v>658</v>
      </c>
      <c r="CH140" s="305">
        <v>160000</v>
      </c>
      <c r="CI140" s="305">
        <f t="shared" si="39"/>
        <v>48000</v>
      </c>
      <c r="CJ140" s="306">
        <f t="shared" si="40"/>
        <v>112000</v>
      </c>
      <c r="CK140" s="307" t="e">
        <f>CJ140-#REF!</f>
        <v>#REF!</v>
      </c>
      <c r="CL140" s="592">
        <v>160000</v>
      </c>
      <c r="CM140" s="21">
        <f t="shared" si="52"/>
        <v>1</v>
      </c>
      <c r="CN140" s="21">
        <f t="shared" si="53"/>
        <v>3.3333333333333335</v>
      </c>
      <c r="CO140" s="54"/>
      <c r="CP140" s="622">
        <f t="shared" si="54"/>
        <v>130</v>
      </c>
      <c r="CQ140" s="623">
        <f t="shared" si="55"/>
        <v>110</v>
      </c>
      <c r="CR140" s="624" t="str">
        <f t="shared" si="56"/>
        <v>S</v>
      </c>
      <c r="CS140" s="634">
        <f t="shared" si="57"/>
        <v>287</v>
      </c>
      <c r="CT140" s="591">
        <f t="shared" si="43"/>
        <v>1056000</v>
      </c>
      <c r="CU140" s="591">
        <f t="shared" si="48"/>
        <v>358.75</v>
      </c>
      <c r="CV140" s="591">
        <v>1500</v>
      </c>
      <c r="CW140" s="54"/>
      <c r="CX140" s="54"/>
      <c r="CY140" s="54"/>
      <c r="CZ140" s="54"/>
      <c r="DA140" s="54">
        <v>1.6875</v>
      </c>
      <c r="DB140" s="54">
        <v>6.25</v>
      </c>
      <c r="DC140" s="649">
        <f t="shared" si="58"/>
        <v>2.4816</v>
      </c>
    </row>
    <row r="141" spans="1:107" ht="12.75">
      <c r="A141" s="24" t="s">
        <v>605</v>
      </c>
      <c r="B141" s="69" t="s">
        <v>605</v>
      </c>
      <c r="C141" s="636" t="s">
        <v>865</v>
      </c>
      <c r="D141" s="122">
        <v>40</v>
      </c>
      <c r="E141" s="120" t="s">
        <v>1140</v>
      </c>
      <c r="F141" s="15">
        <v>1</v>
      </c>
      <c r="G141" s="18">
        <v>3</v>
      </c>
      <c r="H141" s="17">
        <v>2</v>
      </c>
      <c r="I141" s="754">
        <v>2</v>
      </c>
      <c r="J141" s="187">
        <v>1</v>
      </c>
      <c r="K141" s="188">
        <v>3</v>
      </c>
      <c r="L141" s="867">
        <v>250</v>
      </c>
      <c r="M141" s="884">
        <v>20</v>
      </c>
      <c r="N141" s="106">
        <v>400</v>
      </c>
      <c r="O141" s="454">
        <v>5</v>
      </c>
      <c r="P141" s="531">
        <v>5</v>
      </c>
      <c r="Q141" s="340">
        <v>226</v>
      </c>
      <c r="R141" s="98">
        <v>320</v>
      </c>
      <c r="S141" s="326">
        <f t="shared" si="47"/>
        <v>408</v>
      </c>
      <c r="T141" s="342">
        <v>1150</v>
      </c>
      <c r="U141" s="343">
        <v>18900</v>
      </c>
      <c r="V141" s="344">
        <v>2500</v>
      </c>
      <c r="W141" s="289">
        <v>2.47</v>
      </c>
      <c r="X141" s="340">
        <v>258</v>
      </c>
      <c r="Y141" s="43">
        <v>50</v>
      </c>
      <c r="Z141" s="44">
        <v>10</v>
      </c>
      <c r="AA141" s="44">
        <v>25</v>
      </c>
      <c r="AB141" s="49">
        <v>45</v>
      </c>
      <c r="AC141" s="345">
        <v>274</v>
      </c>
      <c r="AD141" s="312">
        <v>625</v>
      </c>
      <c r="AE141" s="292">
        <f t="shared" si="46"/>
        <v>0.4384</v>
      </c>
      <c r="AF141" s="43">
        <v>0</v>
      </c>
      <c r="AG141" s="44">
        <v>50</v>
      </c>
      <c r="AH141" s="44">
        <v>40</v>
      </c>
      <c r="AI141" s="45">
        <v>20</v>
      </c>
      <c r="AJ141" s="5">
        <f t="shared" si="50"/>
        <v>758</v>
      </c>
      <c r="AK141" s="103" t="str">
        <f aca="true" t="shared" si="60" ref="AK141:AK183">IF($X141=$AC141,"=",IF(MAX($AC141,$X141)*0.1&gt;ABS($X141-$AC141),"~",IF(MAX($AC141,$X141)=$X141,"A","S")))</f>
        <v>~</v>
      </c>
      <c r="AL141" s="862">
        <v>156</v>
      </c>
      <c r="AM141" s="458">
        <v>117.19</v>
      </c>
      <c r="AN141" s="295">
        <f t="shared" si="37"/>
        <v>1.3311716016724977</v>
      </c>
      <c r="AO141" s="145">
        <v>37</v>
      </c>
      <c r="AP141" s="85" t="s">
        <v>175</v>
      </c>
      <c r="AQ141" s="297">
        <v>430</v>
      </c>
      <c r="AR141" s="33">
        <v>0</v>
      </c>
      <c r="AS141" s="34">
        <v>10</v>
      </c>
      <c r="AT141" s="34">
        <v>0</v>
      </c>
      <c r="AU141" s="73">
        <v>0</v>
      </c>
      <c r="AV141" s="39">
        <v>48</v>
      </c>
      <c r="AW141" s="143">
        <v>320</v>
      </c>
      <c r="AX141" s="33">
        <v>0</v>
      </c>
      <c r="AY141" s="34">
        <v>4</v>
      </c>
      <c r="AZ141" s="34">
        <v>0</v>
      </c>
      <c r="BA141" s="84">
        <v>0</v>
      </c>
      <c r="BB141" s="586">
        <v>6</v>
      </c>
      <c r="BC141" s="590">
        <v>2.68E-06</v>
      </c>
      <c r="BD141" s="588">
        <f t="shared" si="51"/>
        <v>31.63530175210902</v>
      </c>
      <c r="BE141" s="299"/>
      <c r="BF141" s="300"/>
      <c r="BG141" s="112"/>
      <c r="BH141" s="541"/>
      <c r="BI141" s="301">
        <v>3</v>
      </c>
      <c r="BJ141" s="696" t="s">
        <v>1476</v>
      </c>
      <c r="BK141" s="13" t="s">
        <v>1758</v>
      </c>
      <c r="BL141" s="303" t="s">
        <v>922</v>
      </c>
      <c r="BM141" s="86" t="s">
        <v>1373</v>
      </c>
      <c r="BN141" s="303" t="s">
        <v>104</v>
      </c>
      <c r="BO141" s="86"/>
      <c r="BP141" s="1" t="s">
        <v>1374</v>
      </c>
      <c r="BQ141" t="s">
        <v>260</v>
      </c>
      <c r="BR141" s="1">
        <v>94</v>
      </c>
      <c r="BS141" s="21">
        <v>605</v>
      </c>
      <c r="BT141" s="605"/>
      <c r="BU141" s="600">
        <v>2.5</v>
      </c>
      <c r="BV141" s="601">
        <v>0.2</v>
      </c>
      <c r="BW141" s="386">
        <f t="shared" si="59"/>
        <v>320</v>
      </c>
      <c r="BX141" s="329">
        <f>IF($F141&gt;0,$BW141*$D$208,"")</f>
        <v>408</v>
      </c>
      <c r="BY141" s="329">
        <f>IF($F141&gt;1,$BX141*$D$209,"")</f>
      </c>
      <c r="BZ141" s="329">
        <f>IF($F141&gt;2,$BY141*$D$210,"")</f>
      </c>
      <c r="CA141" s="329">
        <f>IF($F141&gt;3,$BZ141*$D$211,"")</f>
      </c>
      <c r="CB141" s="329">
        <f>IF($F141&gt;4,$CA141*$D$212,"")</f>
      </c>
      <c r="CC141" s="329">
        <f>IF($F141&gt;5,$CB141*$D$213,"")</f>
      </c>
      <c r="CD141" s="329">
        <f>IF($F141&gt;6,$CC141*$D$214,"")</f>
      </c>
      <c r="CE141" s="485" t="s">
        <v>1492</v>
      </c>
      <c r="CF141" s="853" t="s">
        <v>919</v>
      </c>
      <c r="CG141" s="440" t="s">
        <v>659</v>
      </c>
      <c r="CH141" s="305">
        <v>97250</v>
      </c>
      <c r="CI141" s="305">
        <f t="shared" si="39"/>
        <v>29175</v>
      </c>
      <c r="CJ141" s="306">
        <f t="shared" si="40"/>
        <v>68075</v>
      </c>
      <c r="CK141" s="307" t="e">
        <f>CJ141-#REF!</f>
        <v>#REF!</v>
      </c>
      <c r="CL141" s="592">
        <v>97250</v>
      </c>
      <c r="CM141" s="21">
        <f t="shared" si="52"/>
        <v>1</v>
      </c>
      <c r="CN141" s="21">
        <f t="shared" si="53"/>
        <v>3.3333333333333335</v>
      </c>
      <c r="CO141" s="54"/>
      <c r="CP141" s="625">
        <f t="shared" si="54"/>
        <v>130</v>
      </c>
      <c r="CQ141" s="623">
        <f t="shared" si="55"/>
        <v>110</v>
      </c>
      <c r="CR141" s="624" t="str">
        <f t="shared" si="56"/>
        <v>~</v>
      </c>
      <c r="CS141" s="634">
        <f t="shared" si="57"/>
        <v>320</v>
      </c>
      <c r="CT141" s="591">
        <f t="shared" si="43"/>
        <v>1150000</v>
      </c>
      <c r="CU141" s="591">
        <f t="shared" si="48"/>
        <v>400</v>
      </c>
      <c r="CV141" s="591">
        <v>1500</v>
      </c>
      <c r="CW141" s="54"/>
      <c r="CX141" s="54"/>
      <c r="CY141" s="54"/>
      <c r="CZ141" s="54"/>
      <c r="DA141" s="54">
        <v>1.6875</v>
      </c>
      <c r="DB141" s="54">
        <v>6.25</v>
      </c>
      <c r="DC141" s="649">
        <f t="shared" si="58"/>
        <v>2.8405</v>
      </c>
    </row>
    <row r="142" spans="1:107" ht="12.75">
      <c r="A142" s="24" t="s">
        <v>916</v>
      </c>
      <c r="B142" s="69" t="s">
        <v>916</v>
      </c>
      <c r="C142" s="636" t="s">
        <v>865</v>
      </c>
      <c r="D142" s="122">
        <v>40</v>
      </c>
      <c r="E142" s="120" t="s">
        <v>1140</v>
      </c>
      <c r="F142" s="15">
        <v>2</v>
      </c>
      <c r="G142" s="18">
        <v>3</v>
      </c>
      <c r="H142" s="17">
        <v>4</v>
      </c>
      <c r="I142" s="755">
        <v>4</v>
      </c>
      <c r="J142" s="187">
        <v>0</v>
      </c>
      <c r="K142" s="188">
        <v>3</v>
      </c>
      <c r="L142" s="867">
        <v>150</v>
      </c>
      <c r="M142" s="884">
        <v>30</v>
      </c>
      <c r="N142" s="106">
        <v>400</v>
      </c>
      <c r="O142" s="454">
        <v>0</v>
      </c>
      <c r="P142" s="531">
        <v>0</v>
      </c>
      <c r="Q142" s="340">
        <v>266</v>
      </c>
      <c r="R142" s="98">
        <v>305</v>
      </c>
      <c r="S142" s="326">
        <f t="shared" si="47"/>
        <v>495.81562499999995</v>
      </c>
      <c r="T142" s="342">
        <v>1163</v>
      </c>
      <c r="U142" s="343">
        <v>19700</v>
      </c>
      <c r="V142" s="344">
        <v>2500</v>
      </c>
      <c r="W142" s="289">
        <v>2.71</v>
      </c>
      <c r="X142" s="340">
        <v>266</v>
      </c>
      <c r="Y142" s="43">
        <v>50</v>
      </c>
      <c r="Z142" s="44">
        <v>10</v>
      </c>
      <c r="AA142" s="44">
        <v>25</v>
      </c>
      <c r="AB142" s="49">
        <v>45</v>
      </c>
      <c r="AC142" s="345">
        <v>391</v>
      </c>
      <c r="AD142" s="312">
        <v>625</v>
      </c>
      <c r="AE142" s="292">
        <f t="shared" si="46"/>
        <v>0.6256</v>
      </c>
      <c r="AF142" s="43">
        <v>0</v>
      </c>
      <c r="AG142" s="44">
        <v>50</v>
      </c>
      <c r="AH142" s="44">
        <v>40</v>
      </c>
      <c r="AI142" s="45">
        <v>20</v>
      </c>
      <c r="AJ142" s="5">
        <f t="shared" si="50"/>
        <v>923</v>
      </c>
      <c r="AK142" s="103" t="str">
        <f t="shared" si="60"/>
        <v>S</v>
      </c>
      <c r="AL142" s="862">
        <v>250</v>
      </c>
      <c r="AM142" s="458">
        <v>187.5</v>
      </c>
      <c r="AN142" s="295">
        <f t="shared" si="37"/>
        <v>1.3333333333333333</v>
      </c>
      <c r="AO142" s="145">
        <v>40</v>
      </c>
      <c r="AP142" s="85" t="s">
        <v>175</v>
      </c>
      <c r="AQ142" s="297">
        <v>465</v>
      </c>
      <c r="AR142" s="33">
        <v>0</v>
      </c>
      <c r="AS142" s="34">
        <v>10</v>
      </c>
      <c r="AT142" s="34">
        <v>0</v>
      </c>
      <c r="AU142" s="73">
        <v>0</v>
      </c>
      <c r="AV142" s="39">
        <v>47</v>
      </c>
      <c r="AW142" s="143">
        <v>296</v>
      </c>
      <c r="AX142" s="33">
        <v>0</v>
      </c>
      <c r="AY142" s="34">
        <v>4</v>
      </c>
      <c r="AZ142" s="34">
        <v>0</v>
      </c>
      <c r="BA142" s="84">
        <v>0</v>
      </c>
      <c r="BB142" s="586">
        <v>6</v>
      </c>
      <c r="BC142" s="590">
        <v>2.68E-06</v>
      </c>
      <c r="BD142" s="588">
        <f t="shared" si="51"/>
        <v>50.13090181080838</v>
      </c>
      <c r="BE142" s="299"/>
      <c r="BF142" s="300"/>
      <c r="BG142" s="112"/>
      <c r="BH142" s="541"/>
      <c r="BI142" s="301">
        <v>5</v>
      </c>
      <c r="BJ142" s="696" t="s">
        <v>1476</v>
      </c>
      <c r="BK142" s="13" t="s">
        <v>1671</v>
      </c>
      <c r="BL142" s="303" t="s">
        <v>1376</v>
      </c>
      <c r="BM142" s="86" t="s">
        <v>1248</v>
      </c>
      <c r="BN142" s="303" t="s">
        <v>104</v>
      </c>
      <c r="BO142" s="86"/>
      <c r="BP142" s="1" t="s">
        <v>1595</v>
      </c>
      <c r="BR142" s="1">
        <v>91</v>
      </c>
      <c r="BS142" s="21">
        <v>602</v>
      </c>
      <c r="BT142" s="605"/>
      <c r="BU142" s="600">
        <v>6</v>
      </c>
      <c r="BV142" s="601">
        <v>0</v>
      </c>
      <c r="BW142" s="386">
        <f t="shared" si="59"/>
        <v>305</v>
      </c>
      <c r="BX142" s="329">
        <f>IF($F142&gt;0,$BW142*$D$208,"")</f>
        <v>388.875</v>
      </c>
      <c r="BY142" s="329">
        <f>IF($F142&gt;1,$BX142*$D$209,"")</f>
        <v>495.81562499999995</v>
      </c>
      <c r="BZ142" s="329">
        <f>IF($F142&gt;2,$BY142*$D$210,"")</f>
      </c>
      <c r="CA142" s="329">
        <f>IF($F142&gt;3,$BZ142*$D$211,"")</f>
      </c>
      <c r="CB142" s="329">
        <f>IF($F142&gt;4,$CA142*$D$212,"")</f>
      </c>
      <c r="CC142" s="329">
        <f>IF($F142&gt;5,$CB142*$D$213,"")</f>
      </c>
      <c r="CD142" s="329">
        <f>IF($F142&gt;6,$CC142*$D$214,"")</f>
      </c>
      <c r="CE142" s="485" t="s">
        <v>1102</v>
      </c>
      <c r="CF142" s="853" t="s">
        <v>919</v>
      </c>
      <c r="CG142" s="440" t="s">
        <v>1626</v>
      </c>
      <c r="CH142" s="305">
        <v>225000</v>
      </c>
      <c r="CI142" s="305">
        <f t="shared" si="39"/>
        <v>67500</v>
      </c>
      <c r="CJ142" s="306">
        <f t="shared" si="40"/>
        <v>157500</v>
      </c>
      <c r="CK142" s="307" t="e">
        <f>CJ142-#REF!</f>
        <v>#REF!</v>
      </c>
      <c r="CL142" s="592">
        <v>225000</v>
      </c>
      <c r="CM142" s="21">
        <f t="shared" si="52"/>
        <v>1</v>
      </c>
      <c r="CN142" s="21">
        <f t="shared" si="53"/>
        <v>3.3333333333333335</v>
      </c>
      <c r="CO142" s="54"/>
      <c r="CP142" s="622">
        <f t="shared" si="54"/>
        <v>130</v>
      </c>
      <c r="CQ142" s="623">
        <f t="shared" si="55"/>
        <v>110</v>
      </c>
      <c r="CR142" s="624" t="str">
        <f t="shared" si="56"/>
        <v>S</v>
      </c>
      <c r="CS142" s="634">
        <f t="shared" si="57"/>
        <v>296</v>
      </c>
      <c r="CT142" s="591">
        <f t="shared" si="43"/>
        <v>1163000</v>
      </c>
      <c r="CU142" s="591">
        <f t="shared" si="48"/>
        <v>370</v>
      </c>
      <c r="CV142" s="591">
        <v>1500</v>
      </c>
      <c r="CW142" s="54"/>
      <c r="CX142" s="54"/>
      <c r="CY142" s="54"/>
      <c r="CZ142" s="54"/>
      <c r="DA142" s="54">
        <v>1.6875</v>
      </c>
      <c r="DB142" s="54">
        <v>6.25</v>
      </c>
      <c r="DC142" s="649">
        <f t="shared" si="58"/>
        <v>3.15173</v>
      </c>
    </row>
    <row r="143" spans="1:107" ht="12.75">
      <c r="A143" s="24" t="s">
        <v>1253</v>
      </c>
      <c r="B143" s="69" t="s">
        <v>1253</v>
      </c>
      <c r="C143" s="636" t="s">
        <v>865</v>
      </c>
      <c r="D143" s="122">
        <v>40</v>
      </c>
      <c r="E143" s="120" t="s">
        <v>1140</v>
      </c>
      <c r="F143" s="15">
        <v>2</v>
      </c>
      <c r="G143" s="18">
        <v>4</v>
      </c>
      <c r="H143" s="17">
        <v>4</v>
      </c>
      <c r="I143" s="16">
        <v>2</v>
      </c>
      <c r="J143" s="737">
        <v>2</v>
      </c>
      <c r="K143" s="188">
        <v>3</v>
      </c>
      <c r="L143" s="867">
        <v>175</v>
      </c>
      <c r="M143" s="884">
        <v>35</v>
      </c>
      <c r="N143" s="106">
        <v>400</v>
      </c>
      <c r="O143" s="454">
        <v>0</v>
      </c>
      <c r="P143" s="531">
        <v>0</v>
      </c>
      <c r="Q143" s="340">
        <v>313</v>
      </c>
      <c r="R143" s="98">
        <v>130</v>
      </c>
      <c r="S143" s="326">
        <f t="shared" si="47"/>
        <v>211.33124999999998</v>
      </c>
      <c r="T143" s="342">
        <v>997</v>
      </c>
      <c r="U143" s="343">
        <v>16500</v>
      </c>
      <c r="V143" s="344">
        <v>2500</v>
      </c>
      <c r="W143" s="289">
        <v>2.44</v>
      </c>
      <c r="X143" s="340">
        <v>351</v>
      </c>
      <c r="Y143" s="43">
        <v>50</v>
      </c>
      <c r="Z143" s="44">
        <v>10</v>
      </c>
      <c r="AA143" s="44">
        <v>25</v>
      </c>
      <c r="AB143" s="49">
        <v>45</v>
      </c>
      <c r="AC143" s="345">
        <v>469</v>
      </c>
      <c r="AD143" s="312">
        <v>625</v>
      </c>
      <c r="AE143" s="292">
        <f t="shared" si="46"/>
        <v>0.7504</v>
      </c>
      <c r="AF143" s="729">
        <v>0</v>
      </c>
      <c r="AG143" s="730">
        <v>50</v>
      </c>
      <c r="AH143" s="730">
        <v>40</v>
      </c>
      <c r="AI143" s="745">
        <v>20</v>
      </c>
      <c r="AJ143" s="5">
        <f t="shared" si="50"/>
        <v>1133</v>
      </c>
      <c r="AK143" s="103" t="str">
        <f t="shared" si="60"/>
        <v>S</v>
      </c>
      <c r="AL143" s="862">
        <v>350</v>
      </c>
      <c r="AM143" s="458">
        <v>234.38</v>
      </c>
      <c r="AN143" s="295">
        <f t="shared" si="37"/>
        <v>1.4933014762351737</v>
      </c>
      <c r="AO143" s="145">
        <v>30</v>
      </c>
      <c r="AP143" s="85" t="s">
        <v>463</v>
      </c>
      <c r="AQ143" s="297">
        <v>550</v>
      </c>
      <c r="AR143" s="33">
        <v>0</v>
      </c>
      <c r="AS143" s="34">
        <v>11</v>
      </c>
      <c r="AT143" s="34">
        <v>0</v>
      </c>
      <c r="AU143" s="73">
        <v>0</v>
      </c>
      <c r="AV143" s="39">
        <v>40</v>
      </c>
      <c r="AW143" s="143">
        <v>268</v>
      </c>
      <c r="AX143" s="33">
        <v>0</v>
      </c>
      <c r="AY143" s="34">
        <v>5</v>
      </c>
      <c r="AZ143" s="34">
        <v>0</v>
      </c>
      <c r="BA143" s="84">
        <v>0</v>
      </c>
      <c r="BB143" s="586">
        <v>6</v>
      </c>
      <c r="BC143" s="590">
        <v>2.68E-06</v>
      </c>
      <c r="BD143" s="588">
        <f t="shared" si="51"/>
        <v>81.86874055000823</v>
      </c>
      <c r="BE143" s="299"/>
      <c r="BF143" s="300"/>
      <c r="BG143" s="112"/>
      <c r="BH143" s="541"/>
      <c r="BI143" s="301">
        <v>6</v>
      </c>
      <c r="BJ143" s="696" t="s">
        <v>1476</v>
      </c>
      <c r="BK143" s="13" t="s">
        <v>136</v>
      </c>
      <c r="BL143" s="303" t="s">
        <v>1597</v>
      </c>
      <c r="BM143" s="86" t="s">
        <v>1606</v>
      </c>
      <c r="BN143" s="303" t="s">
        <v>104</v>
      </c>
      <c r="BO143" s="86"/>
      <c r="BP143" s="1" t="s">
        <v>1607</v>
      </c>
      <c r="BQ143" t="s">
        <v>1608</v>
      </c>
      <c r="BR143" s="1">
        <v>78</v>
      </c>
      <c r="BS143" s="21">
        <v>603</v>
      </c>
      <c r="BT143" s="605"/>
      <c r="BU143" s="600">
        <v>4</v>
      </c>
      <c r="BV143" s="601">
        <v>0</v>
      </c>
      <c r="BW143" s="386">
        <f t="shared" si="59"/>
        <v>130</v>
      </c>
      <c r="BX143" s="329">
        <f>IF($F143&gt;0,$BW143*$D$208,"")</f>
        <v>165.75</v>
      </c>
      <c r="BY143" s="329">
        <f>IF($F143&gt;1,$BX143*$D$209,"")</f>
        <v>211.33124999999998</v>
      </c>
      <c r="BZ143" s="329">
        <f>IF($F143&gt;2,$BY143*$D$210,"")</f>
      </c>
      <c r="CA143" s="329">
        <f>IF($F143&gt;3,$BZ143*$D$211,"")</f>
      </c>
      <c r="CB143" s="329">
        <f>IF($F143&gt;4,$CA143*$D$212,"")</f>
      </c>
      <c r="CC143" s="329">
        <f>IF($F143&gt;5,$CB143*$D$213,"")</f>
      </c>
      <c r="CD143" s="329">
        <f>IF($F143&gt;6,$CC143*$D$214,"")</f>
      </c>
      <c r="CE143" s="485" t="s">
        <v>201</v>
      </c>
      <c r="CF143" s="853" t="s">
        <v>919</v>
      </c>
      <c r="CG143" s="440" t="s">
        <v>280</v>
      </c>
      <c r="CH143" s="305">
        <v>285000</v>
      </c>
      <c r="CI143" s="305">
        <f t="shared" si="39"/>
        <v>85500</v>
      </c>
      <c r="CJ143" s="306">
        <f t="shared" si="40"/>
        <v>199500</v>
      </c>
      <c r="CK143" s="307" t="e">
        <f>CJ143-#REF!</f>
        <v>#REF!</v>
      </c>
      <c r="CL143" s="592">
        <v>285000</v>
      </c>
      <c r="CM143" s="21">
        <f t="shared" si="52"/>
        <v>1</v>
      </c>
      <c r="CN143" s="21">
        <f t="shared" si="53"/>
        <v>3.3333333333333335</v>
      </c>
      <c r="CO143" s="54"/>
      <c r="CP143" s="622">
        <f t="shared" si="54"/>
        <v>130</v>
      </c>
      <c r="CQ143" s="623">
        <f t="shared" si="55"/>
        <v>110</v>
      </c>
      <c r="CR143" s="624" t="str">
        <f t="shared" si="56"/>
        <v>S</v>
      </c>
      <c r="CS143" s="634">
        <f t="shared" si="57"/>
        <v>268</v>
      </c>
      <c r="CT143" s="591">
        <f t="shared" si="43"/>
        <v>997000</v>
      </c>
      <c r="CU143" s="591">
        <f t="shared" si="48"/>
        <v>335</v>
      </c>
      <c r="CV143" s="591">
        <v>1500</v>
      </c>
      <c r="CW143" s="54"/>
      <c r="CX143" s="54"/>
      <c r="CY143" s="54"/>
      <c r="CZ143" s="54"/>
      <c r="DA143" s="54">
        <v>1.6875</v>
      </c>
      <c r="DB143" s="54">
        <v>6.25</v>
      </c>
      <c r="DC143" s="649">
        <f t="shared" si="58"/>
        <v>2.43268</v>
      </c>
    </row>
    <row r="144" spans="1:107" ht="12.75">
      <c r="A144" s="24" t="s">
        <v>1055</v>
      </c>
      <c r="B144" s="69" t="s">
        <v>1055</v>
      </c>
      <c r="C144" s="315" t="s">
        <v>1042</v>
      </c>
      <c r="D144" s="122">
        <v>40</v>
      </c>
      <c r="E144" s="120" t="s">
        <v>1140</v>
      </c>
      <c r="F144" s="15">
        <v>2</v>
      </c>
      <c r="G144" s="18">
        <v>2</v>
      </c>
      <c r="H144" s="17">
        <v>2</v>
      </c>
      <c r="I144" s="16">
        <v>0</v>
      </c>
      <c r="J144" s="738">
        <v>2</v>
      </c>
      <c r="K144" s="188">
        <v>3</v>
      </c>
      <c r="L144" s="867">
        <v>100</v>
      </c>
      <c r="M144" s="884">
        <v>20</v>
      </c>
      <c r="N144" s="106">
        <v>400</v>
      </c>
      <c r="O144" s="454">
        <v>5</v>
      </c>
      <c r="P144" s="531">
        <v>5</v>
      </c>
      <c r="Q144" s="340">
        <v>250</v>
      </c>
      <c r="R144" s="98">
        <v>125</v>
      </c>
      <c r="S144" s="326">
        <f t="shared" si="47"/>
        <v>203.203125</v>
      </c>
      <c r="T144" s="342">
        <v>1164</v>
      </c>
      <c r="U144" s="343">
        <v>22500</v>
      </c>
      <c r="V144" s="344">
        <v>2500</v>
      </c>
      <c r="W144" s="289">
        <v>2.05</v>
      </c>
      <c r="X144" s="340">
        <v>274</v>
      </c>
      <c r="Y144" s="43">
        <v>50</v>
      </c>
      <c r="Z144" s="44">
        <v>10</v>
      </c>
      <c r="AA144" s="44">
        <v>35</v>
      </c>
      <c r="AB144" s="49">
        <v>35</v>
      </c>
      <c r="AC144" s="345">
        <v>235</v>
      </c>
      <c r="AD144" s="312">
        <v>625</v>
      </c>
      <c r="AE144" s="292">
        <f t="shared" si="46"/>
        <v>0.376</v>
      </c>
      <c r="AF144" s="43">
        <v>0</v>
      </c>
      <c r="AG144" s="44">
        <v>50</v>
      </c>
      <c r="AH144" s="44">
        <v>40</v>
      </c>
      <c r="AI144" s="45">
        <v>20</v>
      </c>
      <c r="AJ144" s="5">
        <f t="shared" si="50"/>
        <v>759</v>
      </c>
      <c r="AK144" s="103" t="str">
        <f t="shared" si="60"/>
        <v>A</v>
      </c>
      <c r="AL144" s="862">
        <v>156</v>
      </c>
      <c r="AM144" s="458">
        <v>117.19</v>
      </c>
      <c r="AN144" s="295">
        <f t="shared" si="37"/>
        <v>1.3311716016724977</v>
      </c>
      <c r="AO144" s="145">
        <v>22</v>
      </c>
      <c r="AP144" s="85" t="s">
        <v>463</v>
      </c>
      <c r="AQ144" s="297">
        <v>675</v>
      </c>
      <c r="AR144" s="33">
        <v>0</v>
      </c>
      <c r="AS144" s="34">
        <v>0</v>
      </c>
      <c r="AT144" s="34">
        <v>7</v>
      </c>
      <c r="AU144" s="73">
        <v>0</v>
      </c>
      <c r="AV144" s="39">
        <v>36</v>
      </c>
      <c r="AW144" s="143">
        <v>409</v>
      </c>
      <c r="AX144" s="33">
        <v>0</v>
      </c>
      <c r="AY144" s="34">
        <v>0</v>
      </c>
      <c r="AZ144" s="34">
        <v>4</v>
      </c>
      <c r="BA144" s="84">
        <v>0</v>
      </c>
      <c r="BB144" s="586">
        <v>6</v>
      </c>
      <c r="BC144" s="590">
        <v>1.67E-06</v>
      </c>
      <c r="BD144" s="588">
        <f t="shared" si="51"/>
        <v>50.157417124513856</v>
      </c>
      <c r="BE144" s="299"/>
      <c r="BF144" s="300"/>
      <c r="BG144" s="112"/>
      <c r="BH144" s="541"/>
      <c r="BI144" s="301">
        <v>2</v>
      </c>
      <c r="BJ144" s="696" t="s">
        <v>1476</v>
      </c>
      <c r="BK144" s="13" t="s">
        <v>206</v>
      </c>
      <c r="BL144" s="303" t="s">
        <v>1593</v>
      </c>
      <c r="BM144" s="86" t="s">
        <v>1209</v>
      </c>
      <c r="BN144" s="303" t="s">
        <v>104</v>
      </c>
      <c r="BO144" s="86"/>
      <c r="BP144" s="1" t="s">
        <v>1210</v>
      </c>
      <c r="BR144" s="1">
        <v>62</v>
      </c>
      <c r="BS144" s="21">
        <v>608</v>
      </c>
      <c r="BT144" s="605"/>
      <c r="BU144" s="600">
        <v>2.5</v>
      </c>
      <c r="BV144" s="601">
        <v>0.2</v>
      </c>
      <c r="BW144" s="386">
        <f t="shared" si="59"/>
        <v>125</v>
      </c>
      <c r="BX144" s="329">
        <f>IF($F144&gt;0,$BW144*$D$208,"")</f>
        <v>159.375</v>
      </c>
      <c r="BY144" s="329">
        <f>IF($F144&gt;1,$BX144*$D$209,"")</f>
        <v>203.203125</v>
      </c>
      <c r="BZ144" s="329">
        <f>IF($F144&gt;2,$BY144*$D$210,"")</f>
      </c>
      <c r="CA144" s="329">
        <f>IF($F144&gt;3,$BZ144*$D$211,"")</f>
      </c>
      <c r="CB144" s="329">
        <f>IF($F144&gt;4,$CA144*$D$212,"")</f>
      </c>
      <c r="CC144" s="329">
        <f>IF($F144&gt;5,$CB144*$D$213,"")</f>
      </c>
      <c r="CD144" s="329">
        <f>IF($F144&gt;6,$CC144*$D$214,"")</f>
      </c>
      <c r="CE144" s="485" t="s">
        <v>888</v>
      </c>
      <c r="CF144" s="853" t="s">
        <v>919</v>
      </c>
      <c r="CG144" s="440" t="s">
        <v>444</v>
      </c>
      <c r="CH144" s="305">
        <v>29250</v>
      </c>
      <c r="CI144" s="305">
        <f t="shared" si="39"/>
        <v>8775</v>
      </c>
      <c r="CJ144" s="306">
        <f t="shared" si="40"/>
        <v>20475</v>
      </c>
      <c r="CK144" s="307" t="e">
        <f>CJ144-#REF!</f>
        <v>#REF!</v>
      </c>
      <c r="CL144" s="592">
        <v>29250</v>
      </c>
      <c r="CM144" s="21">
        <f t="shared" si="52"/>
        <v>1</v>
      </c>
      <c r="CN144" s="21">
        <f t="shared" si="53"/>
        <v>3.3333333333333335</v>
      </c>
      <c r="CO144" s="54"/>
      <c r="CP144" s="625">
        <f t="shared" si="54"/>
        <v>130</v>
      </c>
      <c r="CQ144" s="626">
        <f t="shared" si="55"/>
        <v>110</v>
      </c>
      <c r="CR144" s="624" t="str">
        <f t="shared" si="56"/>
        <v>A</v>
      </c>
      <c r="CS144" s="634">
        <f t="shared" si="57"/>
        <v>409</v>
      </c>
      <c r="CT144" s="591">
        <f t="shared" si="43"/>
        <v>1164000</v>
      </c>
      <c r="CU144" s="591">
        <f t="shared" si="48"/>
        <v>511.25</v>
      </c>
      <c r="CV144" s="591">
        <v>1500</v>
      </c>
      <c r="CW144" s="54"/>
      <c r="CX144" s="54"/>
      <c r="CY144" s="54"/>
      <c r="CZ144" s="54"/>
      <c r="DA144" s="54">
        <v>1.6875</v>
      </c>
      <c r="DB144" s="54">
        <v>6.25</v>
      </c>
      <c r="DC144" s="649">
        <f t="shared" si="58"/>
        <v>2.3861999999999997</v>
      </c>
    </row>
    <row r="145" spans="1:107" ht="12.75">
      <c r="A145" s="24" t="s">
        <v>1212</v>
      </c>
      <c r="B145" s="69" t="s">
        <v>1212</v>
      </c>
      <c r="C145" s="315" t="s">
        <v>1042</v>
      </c>
      <c r="D145" s="122">
        <v>40</v>
      </c>
      <c r="E145" s="120" t="s">
        <v>1140</v>
      </c>
      <c r="F145" s="15">
        <v>2</v>
      </c>
      <c r="G145" s="18">
        <v>2</v>
      </c>
      <c r="H145" s="17">
        <v>2</v>
      </c>
      <c r="I145" s="16">
        <v>0</v>
      </c>
      <c r="J145" s="187">
        <v>2</v>
      </c>
      <c r="K145" s="188">
        <v>3</v>
      </c>
      <c r="L145" s="867">
        <v>230</v>
      </c>
      <c r="M145" s="884">
        <v>20</v>
      </c>
      <c r="N145" s="106">
        <v>400</v>
      </c>
      <c r="O145" s="455">
        <v>15</v>
      </c>
      <c r="P145" s="743">
        <v>15</v>
      </c>
      <c r="Q145" s="340">
        <v>289</v>
      </c>
      <c r="R145" s="98">
        <v>320</v>
      </c>
      <c r="S145" s="326">
        <f t="shared" si="47"/>
        <v>520.1999999999999</v>
      </c>
      <c r="T145" s="352">
        <v>997</v>
      </c>
      <c r="U145" s="359">
        <v>21500</v>
      </c>
      <c r="V145" s="344">
        <v>2500</v>
      </c>
      <c r="W145" s="289">
        <v>2.93</v>
      </c>
      <c r="X145" s="340">
        <v>344</v>
      </c>
      <c r="Y145" s="43">
        <v>50</v>
      </c>
      <c r="Z145" s="44">
        <v>10</v>
      </c>
      <c r="AA145" s="44">
        <v>35</v>
      </c>
      <c r="AB145" s="49">
        <v>35</v>
      </c>
      <c r="AC145" s="345">
        <v>195</v>
      </c>
      <c r="AD145" s="312">
        <v>625</v>
      </c>
      <c r="AE145" s="292">
        <f aca="true" t="shared" si="61" ref="AE145:AE180">AC145/AD145</f>
        <v>0.312</v>
      </c>
      <c r="AF145" s="43">
        <v>0</v>
      </c>
      <c r="AG145" s="44">
        <v>50</v>
      </c>
      <c r="AH145" s="44">
        <v>40</v>
      </c>
      <c r="AI145" s="45">
        <v>20</v>
      </c>
      <c r="AJ145" s="5">
        <f t="shared" si="50"/>
        <v>828</v>
      </c>
      <c r="AK145" s="103" t="str">
        <f t="shared" si="60"/>
        <v>A</v>
      </c>
      <c r="AL145" s="862">
        <v>156</v>
      </c>
      <c r="AM145" s="458">
        <v>117.19</v>
      </c>
      <c r="AN145" s="295">
        <f aca="true" t="shared" si="62" ref="AN145:AN204">AL145/AM145</f>
        <v>1.3311716016724977</v>
      </c>
      <c r="AO145" s="145">
        <v>35</v>
      </c>
      <c r="AP145" s="85" t="s">
        <v>175</v>
      </c>
      <c r="AQ145" s="297">
        <v>450</v>
      </c>
      <c r="AR145" s="33">
        <v>0</v>
      </c>
      <c r="AS145" s="34">
        <v>0</v>
      </c>
      <c r="AT145" s="34">
        <v>9</v>
      </c>
      <c r="AU145" s="73">
        <v>0</v>
      </c>
      <c r="AV145" s="39">
        <v>45</v>
      </c>
      <c r="AW145" s="143">
        <v>278</v>
      </c>
      <c r="AX145" s="33">
        <v>0</v>
      </c>
      <c r="AY145" s="34">
        <v>0</v>
      </c>
      <c r="AZ145" s="34">
        <v>4</v>
      </c>
      <c r="BA145" s="84">
        <v>0</v>
      </c>
      <c r="BB145" s="586">
        <v>6</v>
      </c>
      <c r="BC145" s="590">
        <v>1.67E-06</v>
      </c>
      <c r="BD145" s="588">
        <f t="shared" si="51"/>
        <v>58.5589102637253</v>
      </c>
      <c r="BE145" s="299"/>
      <c r="BF145" s="300"/>
      <c r="BG145" s="112"/>
      <c r="BH145" s="541"/>
      <c r="BI145" s="301">
        <v>3</v>
      </c>
      <c r="BJ145" s="696" t="s">
        <v>1476</v>
      </c>
      <c r="BK145" s="13" t="s">
        <v>1147</v>
      </c>
      <c r="BL145" s="303" t="s">
        <v>946</v>
      </c>
      <c r="BM145" s="86" t="s">
        <v>1024</v>
      </c>
      <c r="BN145" s="303" t="s">
        <v>104</v>
      </c>
      <c r="BO145" s="86"/>
      <c r="BP145" s="1" t="s">
        <v>1787</v>
      </c>
      <c r="BR145" s="1">
        <v>84</v>
      </c>
      <c r="BS145" s="21">
        <v>607</v>
      </c>
      <c r="BT145" s="605" t="s">
        <v>214</v>
      </c>
      <c r="BU145" s="610">
        <v>2</v>
      </c>
      <c r="BV145" s="601">
        <v>0.6</v>
      </c>
      <c r="BW145" s="386">
        <f t="shared" si="59"/>
        <v>320</v>
      </c>
      <c r="BX145" s="329">
        <f>IF($F145&gt;0,$BW145*$D$208,"")</f>
        <v>408</v>
      </c>
      <c r="BY145" s="329">
        <f>IF($F145&gt;1,$BX145*$D$209,"")</f>
        <v>520.1999999999999</v>
      </c>
      <c r="BZ145" s="329">
        <f>IF($F145&gt;2,$BY145*$D$210,"")</f>
      </c>
      <c r="CA145" s="329">
        <f>IF($F145&gt;3,$BZ145*$D$211,"")</f>
      </c>
      <c r="CB145" s="329">
        <f>IF($F145&gt;4,$CA145*$D$212,"")</f>
      </c>
      <c r="CC145" s="329">
        <f>IF($F145&gt;5,$CB145*$D$213,"")</f>
      </c>
      <c r="CD145" s="329">
        <f>IF($F145&gt;6,$CC145*$D$214,"")</f>
      </c>
      <c r="CE145" s="485" t="s">
        <v>891</v>
      </c>
      <c r="CF145" s="853" t="s">
        <v>919</v>
      </c>
      <c r="CG145" s="440" t="s">
        <v>445</v>
      </c>
      <c r="CH145" s="305">
        <v>100250</v>
      </c>
      <c r="CI145" s="305">
        <f aca="true" t="shared" si="63" ref="CI145:CI204">CH145*0.3</f>
        <v>30075</v>
      </c>
      <c r="CJ145" s="306">
        <f aca="true" t="shared" si="64" ref="CJ145:CJ204">CH145-CI145</f>
        <v>70175</v>
      </c>
      <c r="CK145" s="307" t="e">
        <f>CJ145-#REF!</f>
        <v>#REF!</v>
      </c>
      <c r="CL145" s="592">
        <v>100250</v>
      </c>
      <c r="CM145" s="21">
        <f t="shared" si="52"/>
        <v>1</v>
      </c>
      <c r="CN145" s="21">
        <f t="shared" si="53"/>
        <v>3.3333333333333335</v>
      </c>
      <c r="CO145" s="54"/>
      <c r="CP145" s="625">
        <f t="shared" si="54"/>
        <v>130</v>
      </c>
      <c r="CQ145" s="626">
        <f t="shared" si="55"/>
        <v>110</v>
      </c>
      <c r="CR145" s="624" t="str">
        <f t="shared" si="56"/>
        <v>A</v>
      </c>
      <c r="CS145" s="634">
        <f t="shared" si="57"/>
        <v>278</v>
      </c>
      <c r="CT145" s="591">
        <f t="shared" si="43"/>
        <v>997000</v>
      </c>
      <c r="CU145" s="591">
        <f t="shared" si="48"/>
        <v>347.5</v>
      </c>
      <c r="CV145" s="591">
        <v>1500</v>
      </c>
      <c r="CW145" s="54"/>
      <c r="CX145" s="54"/>
      <c r="CY145" s="54"/>
      <c r="CZ145" s="54"/>
      <c r="DA145" s="54">
        <v>1.6875</v>
      </c>
      <c r="DB145" s="54">
        <v>6.25</v>
      </c>
      <c r="DC145" s="649">
        <f t="shared" si="58"/>
        <v>2.92121</v>
      </c>
    </row>
    <row r="146" spans="1:107" ht="12.75">
      <c r="A146" s="24" t="s">
        <v>486</v>
      </c>
      <c r="B146" s="69" t="s">
        <v>486</v>
      </c>
      <c r="C146" s="315" t="s">
        <v>1042</v>
      </c>
      <c r="D146" s="122">
        <v>40</v>
      </c>
      <c r="E146" s="120" t="s">
        <v>1140</v>
      </c>
      <c r="F146" s="15">
        <v>2</v>
      </c>
      <c r="G146" s="18">
        <v>3</v>
      </c>
      <c r="H146" s="17">
        <v>3</v>
      </c>
      <c r="I146" s="16">
        <v>0</v>
      </c>
      <c r="J146" s="737">
        <v>3</v>
      </c>
      <c r="K146" s="188">
        <v>3</v>
      </c>
      <c r="L146" s="867">
        <v>110</v>
      </c>
      <c r="M146" s="884">
        <v>34</v>
      </c>
      <c r="N146" s="106">
        <v>400</v>
      </c>
      <c r="O146" s="454">
        <v>5</v>
      </c>
      <c r="P146" s="531">
        <v>5</v>
      </c>
      <c r="Q146" s="340">
        <v>368</v>
      </c>
      <c r="R146" s="98">
        <v>165</v>
      </c>
      <c r="S146" s="326">
        <f t="shared" si="47"/>
        <v>268.2281249999999</v>
      </c>
      <c r="T146" s="352">
        <v>1028</v>
      </c>
      <c r="U146" s="359">
        <v>29500</v>
      </c>
      <c r="V146" s="344">
        <v>2500</v>
      </c>
      <c r="W146" s="289">
        <v>2.32</v>
      </c>
      <c r="X146" s="340">
        <v>368</v>
      </c>
      <c r="Y146" s="43">
        <v>50</v>
      </c>
      <c r="Z146" s="44">
        <v>10</v>
      </c>
      <c r="AA146" s="44">
        <v>35</v>
      </c>
      <c r="AB146" s="49">
        <v>35</v>
      </c>
      <c r="AC146" s="345">
        <v>313</v>
      </c>
      <c r="AD146" s="312">
        <v>625</v>
      </c>
      <c r="AE146" s="292">
        <f t="shared" si="61"/>
        <v>0.5008</v>
      </c>
      <c r="AF146" s="43">
        <v>0</v>
      </c>
      <c r="AG146" s="44">
        <v>50</v>
      </c>
      <c r="AH146" s="44">
        <v>40</v>
      </c>
      <c r="AI146" s="45">
        <v>20</v>
      </c>
      <c r="AJ146" s="5">
        <f t="shared" si="50"/>
        <v>1049</v>
      </c>
      <c r="AK146" s="103" t="str">
        <f t="shared" si="60"/>
        <v>A</v>
      </c>
      <c r="AL146" s="862">
        <v>325</v>
      </c>
      <c r="AM146" s="458">
        <v>234.38</v>
      </c>
      <c r="AN146" s="295">
        <f t="shared" si="62"/>
        <v>1.3866370850755183</v>
      </c>
      <c r="AO146" s="145">
        <v>37</v>
      </c>
      <c r="AP146" s="85" t="s">
        <v>175</v>
      </c>
      <c r="AQ146" s="297">
        <v>620</v>
      </c>
      <c r="AR146" s="33">
        <v>0</v>
      </c>
      <c r="AS146" s="34">
        <v>0</v>
      </c>
      <c r="AT146" s="34">
        <v>9</v>
      </c>
      <c r="AU146" s="73">
        <v>0</v>
      </c>
      <c r="AV146" s="39">
        <v>44</v>
      </c>
      <c r="AW146" s="143">
        <v>334</v>
      </c>
      <c r="AX146" s="33">
        <v>0</v>
      </c>
      <c r="AY146" s="34">
        <v>0</v>
      </c>
      <c r="AZ146" s="34">
        <v>5</v>
      </c>
      <c r="BA146" s="84">
        <v>0</v>
      </c>
      <c r="BB146" s="586">
        <v>6</v>
      </c>
      <c r="BC146" s="590">
        <v>1.67E-06</v>
      </c>
      <c r="BD146" s="588">
        <f t="shared" si="51"/>
        <v>118.31880985111489</v>
      </c>
      <c r="BE146" s="299"/>
      <c r="BF146" s="300"/>
      <c r="BG146" s="112"/>
      <c r="BH146" s="541"/>
      <c r="BI146" s="301">
        <v>5</v>
      </c>
      <c r="BJ146" s="696" t="s">
        <v>1476</v>
      </c>
      <c r="BK146" s="13" t="s">
        <v>136</v>
      </c>
      <c r="BL146" s="303" t="s">
        <v>702</v>
      </c>
      <c r="BM146" s="86" t="s">
        <v>140</v>
      </c>
      <c r="BN146" s="303" t="s">
        <v>104</v>
      </c>
      <c r="BO146" s="86"/>
      <c r="BP146" s="1" t="s">
        <v>1290</v>
      </c>
      <c r="BR146" s="1">
        <v>84</v>
      </c>
      <c r="BS146" s="21">
        <v>594</v>
      </c>
      <c r="BT146" s="605"/>
      <c r="BU146" s="600">
        <v>3.75</v>
      </c>
      <c r="BV146" s="601">
        <v>0.2</v>
      </c>
      <c r="BW146" s="386">
        <f t="shared" si="59"/>
        <v>165</v>
      </c>
      <c r="BX146" s="329">
        <f>IF($F146&gt;0,$BW146*$D$208,"")</f>
        <v>210.37499999999997</v>
      </c>
      <c r="BY146" s="329">
        <f>IF($F146&gt;1,$BX146*$D$209,"")</f>
        <v>268.2281249999999</v>
      </c>
      <c r="BZ146" s="329">
        <f>IF($F146&gt;2,$BY146*$D$210,"")</f>
      </c>
      <c r="CA146" s="329">
        <f>IF($F146&gt;3,$BZ146*$D$211,"")</f>
      </c>
      <c r="CB146" s="329">
        <f>IF($F146&gt;4,$CA146*$D$212,"")</f>
      </c>
      <c r="CC146" s="329">
        <f>IF($F146&gt;5,$CB146*$D$213,"")</f>
      </c>
      <c r="CD146" s="329">
        <f>IF($F146&gt;6,$CC146*$D$214,"")</f>
      </c>
      <c r="CE146" s="485" t="s">
        <v>894</v>
      </c>
      <c r="CF146" s="853" t="s">
        <v>919</v>
      </c>
      <c r="CG146" s="440" t="s">
        <v>446</v>
      </c>
      <c r="CH146" s="305">
        <v>220000</v>
      </c>
      <c r="CI146" s="305">
        <f t="shared" si="63"/>
        <v>66000</v>
      </c>
      <c r="CJ146" s="306">
        <f t="shared" si="64"/>
        <v>154000</v>
      </c>
      <c r="CK146" s="307" t="e">
        <f>CJ146-#REF!</f>
        <v>#REF!</v>
      </c>
      <c r="CL146" s="592">
        <v>220000</v>
      </c>
      <c r="CM146" s="21">
        <f t="shared" si="52"/>
        <v>1</v>
      </c>
      <c r="CN146" s="21">
        <f t="shared" si="53"/>
        <v>3.3333333333333335</v>
      </c>
      <c r="CO146" s="54"/>
      <c r="CP146" s="625">
        <f t="shared" si="54"/>
        <v>130</v>
      </c>
      <c r="CQ146" s="626">
        <f t="shared" si="55"/>
        <v>110</v>
      </c>
      <c r="CR146" s="624" t="str">
        <f t="shared" si="56"/>
        <v>A</v>
      </c>
      <c r="CS146" s="634">
        <f t="shared" si="57"/>
        <v>334</v>
      </c>
      <c r="CT146" s="591">
        <f t="shared" si="43"/>
        <v>1028000</v>
      </c>
      <c r="CU146" s="591">
        <f t="shared" si="48"/>
        <v>417.5</v>
      </c>
      <c r="CV146" s="591">
        <v>1500</v>
      </c>
      <c r="CW146" s="54"/>
      <c r="CX146" s="54"/>
      <c r="CY146" s="54"/>
      <c r="CZ146" s="54"/>
      <c r="DA146" s="54">
        <v>1.6875</v>
      </c>
      <c r="DB146" s="54">
        <v>6.25</v>
      </c>
      <c r="DC146" s="649">
        <f t="shared" si="58"/>
        <v>2.38496</v>
      </c>
    </row>
    <row r="147" spans="1:107" ht="12.75">
      <c r="A147" s="24" t="s">
        <v>263</v>
      </c>
      <c r="B147" s="69" t="s">
        <v>263</v>
      </c>
      <c r="C147" s="315" t="s">
        <v>1042</v>
      </c>
      <c r="D147" s="122">
        <v>40</v>
      </c>
      <c r="E147" s="120" t="s">
        <v>1140</v>
      </c>
      <c r="F147" s="15">
        <v>2</v>
      </c>
      <c r="G147" s="739">
        <v>3</v>
      </c>
      <c r="H147" s="17">
        <v>3</v>
      </c>
      <c r="I147" s="16">
        <v>0</v>
      </c>
      <c r="J147" s="738">
        <v>2</v>
      </c>
      <c r="K147" s="188">
        <v>3</v>
      </c>
      <c r="L147" s="867">
        <v>220</v>
      </c>
      <c r="M147" s="884">
        <v>25</v>
      </c>
      <c r="N147" s="106">
        <v>400</v>
      </c>
      <c r="O147" s="454">
        <v>10</v>
      </c>
      <c r="P147" s="531">
        <v>10</v>
      </c>
      <c r="Q147" s="340">
        <v>329</v>
      </c>
      <c r="R147" s="98">
        <v>175</v>
      </c>
      <c r="S147" s="326">
        <f t="shared" si="47"/>
        <v>284.48437499999994</v>
      </c>
      <c r="T147" s="342">
        <v>1063</v>
      </c>
      <c r="U147" s="343">
        <v>23000</v>
      </c>
      <c r="V147" s="344">
        <v>2500</v>
      </c>
      <c r="W147" s="289">
        <v>2.85</v>
      </c>
      <c r="X147" s="340">
        <v>351</v>
      </c>
      <c r="Y147" s="43">
        <v>50</v>
      </c>
      <c r="Z147" s="44">
        <v>10</v>
      </c>
      <c r="AA147" s="44">
        <v>35</v>
      </c>
      <c r="AB147" s="49">
        <v>35</v>
      </c>
      <c r="AC147" s="345">
        <v>313</v>
      </c>
      <c r="AD147" s="312">
        <v>625</v>
      </c>
      <c r="AE147" s="292">
        <f t="shared" si="61"/>
        <v>0.5008</v>
      </c>
      <c r="AF147" s="43">
        <v>0</v>
      </c>
      <c r="AG147" s="44">
        <v>50</v>
      </c>
      <c r="AH147" s="44">
        <v>40</v>
      </c>
      <c r="AI147" s="45">
        <v>20</v>
      </c>
      <c r="AJ147" s="5">
        <f t="shared" si="50"/>
        <v>993</v>
      </c>
      <c r="AK147" s="103" t="str">
        <f t="shared" si="60"/>
        <v>A</v>
      </c>
      <c r="AL147" s="862">
        <v>250</v>
      </c>
      <c r="AM147" s="458">
        <v>187.5</v>
      </c>
      <c r="AN147" s="295">
        <f t="shared" si="62"/>
        <v>1.3333333333333333</v>
      </c>
      <c r="AO147" s="145">
        <v>50</v>
      </c>
      <c r="AP147" s="85" t="s">
        <v>465</v>
      </c>
      <c r="AQ147" s="297">
        <v>420</v>
      </c>
      <c r="AR147" s="33">
        <v>0</v>
      </c>
      <c r="AS147" s="34">
        <v>0</v>
      </c>
      <c r="AT147" s="34">
        <v>16</v>
      </c>
      <c r="AU147" s="73">
        <v>0</v>
      </c>
      <c r="AV147" s="39">
        <v>48</v>
      </c>
      <c r="AW147" s="143">
        <v>296</v>
      </c>
      <c r="AX147" s="33">
        <v>0</v>
      </c>
      <c r="AY147" s="34">
        <v>0</v>
      </c>
      <c r="AZ147" s="34">
        <v>5</v>
      </c>
      <c r="BA147" s="84">
        <v>0</v>
      </c>
      <c r="BB147" s="586">
        <v>6</v>
      </c>
      <c r="BC147" s="590">
        <v>1.67E-06</v>
      </c>
      <c r="BD147" s="588">
        <f t="shared" si="51"/>
        <v>88.01775564581091</v>
      </c>
      <c r="BE147" s="299"/>
      <c r="BF147" s="300"/>
      <c r="BG147" s="112"/>
      <c r="BH147" s="541"/>
      <c r="BI147" s="301">
        <v>4</v>
      </c>
      <c r="BJ147" s="696" t="s">
        <v>1476</v>
      </c>
      <c r="BK147" s="13" t="s">
        <v>181</v>
      </c>
      <c r="BL147" s="303" t="s">
        <v>1233</v>
      </c>
      <c r="BM147" s="86" t="s">
        <v>1095</v>
      </c>
      <c r="BN147" s="303" t="s">
        <v>104</v>
      </c>
      <c r="BO147" s="86"/>
      <c r="BP147" s="1" t="s">
        <v>231</v>
      </c>
      <c r="BR147" s="1">
        <v>78</v>
      </c>
      <c r="BS147" s="21">
        <v>609</v>
      </c>
      <c r="BT147" s="605"/>
      <c r="BU147" s="600">
        <v>2.5</v>
      </c>
      <c r="BV147" s="601">
        <v>0.4</v>
      </c>
      <c r="BW147" s="386">
        <f t="shared" si="59"/>
        <v>175</v>
      </c>
      <c r="BX147" s="329">
        <f>IF($F147&gt;0,$BW147*$D$208,"")</f>
        <v>223.12499999999997</v>
      </c>
      <c r="BY147" s="329">
        <f>IF($F147&gt;1,$BX147*$D$209,"")</f>
        <v>284.48437499999994</v>
      </c>
      <c r="BZ147" s="329">
        <f>IF($F147&gt;2,$BY147*$D$210,"")</f>
      </c>
      <c r="CA147" s="329">
        <f>IF($F147&gt;3,$BZ147*$D$211,"")</f>
      </c>
      <c r="CB147" s="329">
        <f>IF($F147&gt;4,$CA147*$D$212,"")</f>
      </c>
      <c r="CC147" s="329">
        <f>IF($F147&gt;5,$CB147*$D$213,"")</f>
      </c>
      <c r="CD147" s="329">
        <f>IF($F147&gt;6,$CC147*$D$214,"")</f>
      </c>
      <c r="CE147" s="485" t="s">
        <v>815</v>
      </c>
      <c r="CF147" s="853" t="s">
        <v>919</v>
      </c>
      <c r="CG147" s="440" t="s">
        <v>447</v>
      </c>
      <c r="CH147" s="305">
        <v>180000</v>
      </c>
      <c r="CI147" s="305">
        <f t="shared" si="63"/>
        <v>54000</v>
      </c>
      <c r="CJ147" s="306">
        <f t="shared" si="64"/>
        <v>126000</v>
      </c>
      <c r="CK147" s="307" t="e">
        <f>CJ147-#REF!</f>
        <v>#REF!</v>
      </c>
      <c r="CL147" s="592">
        <v>180000</v>
      </c>
      <c r="CM147" s="21">
        <f t="shared" si="52"/>
        <v>1</v>
      </c>
      <c r="CN147" s="21">
        <f t="shared" si="53"/>
        <v>3.3333333333333335</v>
      </c>
      <c r="CO147" s="54"/>
      <c r="CP147" s="625">
        <f t="shared" si="54"/>
        <v>130</v>
      </c>
      <c r="CQ147" s="626">
        <f t="shared" si="55"/>
        <v>110</v>
      </c>
      <c r="CR147" s="624" t="str">
        <f t="shared" si="56"/>
        <v>A</v>
      </c>
      <c r="CS147" s="634">
        <f t="shared" si="57"/>
        <v>296</v>
      </c>
      <c r="CT147" s="591">
        <f t="shared" si="43"/>
        <v>1063000</v>
      </c>
      <c r="CU147" s="591">
        <f t="shared" si="48"/>
        <v>370</v>
      </c>
      <c r="CV147" s="591">
        <v>1500</v>
      </c>
      <c r="CW147" s="54"/>
      <c r="CX147" s="54"/>
      <c r="CY147" s="54"/>
      <c r="CZ147" s="54"/>
      <c r="DA147" s="54">
        <v>1.6875</v>
      </c>
      <c r="DB147" s="54">
        <v>6.25</v>
      </c>
      <c r="DC147" s="649">
        <f t="shared" si="58"/>
        <v>3.02955</v>
      </c>
    </row>
    <row r="148" spans="1:107" ht="12.75">
      <c r="A148" s="24" t="s">
        <v>1516</v>
      </c>
      <c r="B148" s="69" t="s">
        <v>1516</v>
      </c>
      <c r="C148" s="315" t="s">
        <v>1042</v>
      </c>
      <c r="D148" s="122">
        <v>40</v>
      </c>
      <c r="E148" s="120" t="s">
        <v>1140</v>
      </c>
      <c r="F148" s="15">
        <v>2</v>
      </c>
      <c r="G148" s="18">
        <v>2</v>
      </c>
      <c r="H148" s="17">
        <v>2</v>
      </c>
      <c r="I148" s="16">
        <v>0</v>
      </c>
      <c r="J148" s="187">
        <v>2</v>
      </c>
      <c r="K148" s="188">
        <v>3</v>
      </c>
      <c r="L148" s="868">
        <v>150</v>
      </c>
      <c r="M148" s="884">
        <v>20</v>
      </c>
      <c r="N148" s="106">
        <v>400</v>
      </c>
      <c r="O148" s="454">
        <v>5</v>
      </c>
      <c r="P148" s="531">
        <v>5</v>
      </c>
      <c r="Q148" s="340">
        <v>219</v>
      </c>
      <c r="R148" s="812">
        <v>215</v>
      </c>
      <c r="S148" s="813">
        <f t="shared" si="47"/>
        <v>349.509375</v>
      </c>
      <c r="T148" s="342">
        <v>1221</v>
      </c>
      <c r="U148" s="343">
        <v>10000</v>
      </c>
      <c r="V148" s="344">
        <v>2500</v>
      </c>
      <c r="W148" s="289">
        <v>2.84</v>
      </c>
      <c r="X148" s="340">
        <v>188</v>
      </c>
      <c r="Y148" s="43">
        <v>50</v>
      </c>
      <c r="Z148" s="44">
        <v>10</v>
      </c>
      <c r="AA148" s="44">
        <v>35</v>
      </c>
      <c r="AB148" s="49">
        <v>35</v>
      </c>
      <c r="AC148" s="345">
        <v>118</v>
      </c>
      <c r="AD148" s="312">
        <v>625</v>
      </c>
      <c r="AE148" s="292">
        <f t="shared" si="61"/>
        <v>0.1888</v>
      </c>
      <c r="AF148" s="43">
        <v>0</v>
      </c>
      <c r="AG148" s="44">
        <v>50</v>
      </c>
      <c r="AH148" s="44">
        <v>40</v>
      </c>
      <c r="AI148" s="45">
        <v>20</v>
      </c>
      <c r="AJ148" s="5">
        <f t="shared" si="50"/>
        <v>525</v>
      </c>
      <c r="AK148" s="103" t="str">
        <f t="shared" si="60"/>
        <v>A</v>
      </c>
      <c r="AL148" s="862">
        <v>125</v>
      </c>
      <c r="AM148" s="458">
        <v>93.75</v>
      </c>
      <c r="AN148" s="295">
        <f t="shared" si="62"/>
        <v>1.3333333333333333</v>
      </c>
      <c r="AO148" s="145">
        <v>45</v>
      </c>
      <c r="AP148" s="85" t="s">
        <v>175</v>
      </c>
      <c r="AQ148" s="297">
        <v>495</v>
      </c>
      <c r="AR148" s="33">
        <v>0</v>
      </c>
      <c r="AS148" s="34">
        <v>0</v>
      </c>
      <c r="AT148" s="34">
        <v>6</v>
      </c>
      <c r="AU148" s="73">
        <v>0</v>
      </c>
      <c r="AV148" s="39">
        <v>46</v>
      </c>
      <c r="AW148" s="143">
        <v>325</v>
      </c>
      <c r="AX148" s="33">
        <v>0</v>
      </c>
      <c r="AY148" s="34">
        <v>0</v>
      </c>
      <c r="AZ148" s="34">
        <v>4</v>
      </c>
      <c r="BA148" s="84">
        <v>0</v>
      </c>
      <c r="BB148" s="586">
        <v>6</v>
      </c>
      <c r="BC148" s="590">
        <v>1.67E-06</v>
      </c>
      <c r="BD148" s="588">
        <f t="shared" si="51"/>
        <v>38.31403532002334</v>
      </c>
      <c r="BE148" s="299"/>
      <c r="BF148" s="300"/>
      <c r="BG148" s="112"/>
      <c r="BH148" s="541"/>
      <c r="BI148" s="301">
        <v>1</v>
      </c>
      <c r="BJ148" s="696" t="s">
        <v>1476</v>
      </c>
      <c r="BK148" s="13" t="s">
        <v>722</v>
      </c>
      <c r="BL148" s="303" t="s">
        <v>645</v>
      </c>
      <c r="BM148" s="86" t="s">
        <v>162</v>
      </c>
      <c r="BN148" s="303" t="s">
        <v>104</v>
      </c>
      <c r="BO148" s="86"/>
      <c r="BP148" s="1" t="s">
        <v>163</v>
      </c>
      <c r="BR148" s="1">
        <v>78</v>
      </c>
      <c r="BS148" s="21">
        <v>592</v>
      </c>
      <c r="BT148" s="605" t="s">
        <v>214</v>
      </c>
      <c r="BU148" s="610">
        <v>2</v>
      </c>
      <c r="BV148" s="601">
        <v>0.2</v>
      </c>
      <c r="BW148" s="388">
        <f>$R148+IF(AND($C148="Amarr",$D148=40),($R148*0.05*$G$212),IF(AND($C148="Caldari",$D148=40),($R148*0.05*$G$213),IF(AND($C148="Gallente",$D148=40),(R148*0.05*$G$214),IF(AND($C148="Minmatar",$D148=40),($R148*0.05*$G$215),""))))</f>
        <v>215</v>
      </c>
      <c r="BX148" s="329">
        <f>IF($F148&gt;0,$BW148*$D$208,"")</f>
        <v>274.125</v>
      </c>
      <c r="BY148" s="329">
        <f>IF($F148&gt;1,$BX148*$D$209,"")</f>
        <v>349.509375</v>
      </c>
      <c r="BZ148" s="329">
        <f>IF($F148&gt;2,$BY148*$D$210,"")</f>
      </c>
      <c r="CA148" s="329">
        <f>IF($F148&gt;3,$BZ148*$D$211,"")</f>
      </c>
      <c r="CB148" s="329">
        <f>IF($F148&gt;4,$CA148*$D$212,"")</f>
      </c>
      <c r="CC148" s="329">
        <f>IF($F148&gt;5,$CB148*$D$213,"")</f>
      </c>
      <c r="CD148" s="329">
        <f>IF($F148&gt;6,$CC148*$D$214,"")</f>
      </c>
      <c r="CE148" s="485" t="s">
        <v>802</v>
      </c>
      <c r="CF148" s="853" t="s">
        <v>919</v>
      </c>
      <c r="CG148" s="440" t="s">
        <v>448</v>
      </c>
      <c r="CH148" s="305">
        <v>22500</v>
      </c>
      <c r="CI148" s="305">
        <f t="shared" si="63"/>
        <v>6750</v>
      </c>
      <c r="CJ148" s="306">
        <f t="shared" si="64"/>
        <v>15750</v>
      </c>
      <c r="CK148" s="307" t="e">
        <f>CJ148-#REF!</f>
        <v>#REF!</v>
      </c>
      <c r="CL148" s="592">
        <v>22500</v>
      </c>
      <c r="CM148" s="21">
        <f t="shared" si="52"/>
        <v>1</v>
      </c>
      <c r="CN148" s="21">
        <f t="shared" si="53"/>
        <v>3.3333333333333335</v>
      </c>
      <c r="CO148" s="54"/>
      <c r="CP148" s="625">
        <f t="shared" si="54"/>
        <v>130</v>
      </c>
      <c r="CQ148" s="626">
        <f t="shared" si="55"/>
        <v>110</v>
      </c>
      <c r="CR148" s="624" t="str">
        <f t="shared" si="56"/>
        <v>A</v>
      </c>
      <c r="CS148" s="634">
        <f t="shared" si="57"/>
        <v>325</v>
      </c>
      <c r="CT148" s="591">
        <f t="shared" si="43"/>
        <v>1221000</v>
      </c>
      <c r="CU148" s="591">
        <f t="shared" si="48"/>
        <v>406.25</v>
      </c>
      <c r="CV148" s="591">
        <v>1500</v>
      </c>
      <c r="CW148" s="54"/>
      <c r="CX148" s="54"/>
      <c r="CY148" s="54"/>
      <c r="CZ148" s="54"/>
      <c r="DA148" s="54">
        <v>1.6875</v>
      </c>
      <c r="DB148" s="54">
        <v>6.25</v>
      </c>
      <c r="DC148" s="649">
        <f t="shared" si="58"/>
        <v>3.46764</v>
      </c>
    </row>
    <row r="149" spans="1:107" ht="12.75">
      <c r="A149" s="24" t="s">
        <v>1186</v>
      </c>
      <c r="B149" s="69" t="s">
        <v>1186</v>
      </c>
      <c r="C149" s="315" t="s">
        <v>1042</v>
      </c>
      <c r="D149" s="122">
        <v>40</v>
      </c>
      <c r="E149" s="120" t="s">
        <v>1140</v>
      </c>
      <c r="F149" s="15">
        <v>3</v>
      </c>
      <c r="G149" s="18">
        <v>3</v>
      </c>
      <c r="H149" s="17">
        <v>4</v>
      </c>
      <c r="I149" s="16">
        <v>2</v>
      </c>
      <c r="J149" s="741">
        <v>2</v>
      </c>
      <c r="K149" s="188">
        <v>3</v>
      </c>
      <c r="L149" s="868">
        <v>125</v>
      </c>
      <c r="M149" s="884">
        <v>38</v>
      </c>
      <c r="N149" s="106">
        <v>400</v>
      </c>
      <c r="O149" s="454">
        <v>5</v>
      </c>
      <c r="P149" s="531">
        <v>5</v>
      </c>
      <c r="Q149" s="340">
        <v>383</v>
      </c>
      <c r="R149" s="98">
        <v>140</v>
      </c>
      <c r="S149" s="326">
        <f t="shared" si="47"/>
        <v>290.17406249999993</v>
      </c>
      <c r="T149" s="342">
        <v>1006</v>
      </c>
      <c r="U149" s="343">
        <v>26500</v>
      </c>
      <c r="V149" s="344">
        <v>2500</v>
      </c>
      <c r="W149" s="289">
        <v>2.69</v>
      </c>
      <c r="X149" s="340">
        <v>430</v>
      </c>
      <c r="Y149" s="43">
        <v>50</v>
      </c>
      <c r="Z149" s="44">
        <v>10</v>
      </c>
      <c r="AA149" s="44">
        <v>35</v>
      </c>
      <c r="AB149" s="49">
        <v>35</v>
      </c>
      <c r="AC149" s="345">
        <v>391</v>
      </c>
      <c r="AD149" s="312">
        <v>625</v>
      </c>
      <c r="AE149" s="292">
        <f t="shared" si="61"/>
        <v>0.6256</v>
      </c>
      <c r="AF149" s="43">
        <v>0</v>
      </c>
      <c r="AG149" s="44">
        <v>50</v>
      </c>
      <c r="AH149" s="44">
        <v>40</v>
      </c>
      <c r="AI149" s="45">
        <v>20</v>
      </c>
      <c r="AJ149" s="5">
        <f t="shared" si="50"/>
        <v>1204</v>
      </c>
      <c r="AK149" s="103" t="str">
        <f t="shared" si="60"/>
        <v>~</v>
      </c>
      <c r="AL149" s="862">
        <v>350</v>
      </c>
      <c r="AM149" s="458">
        <v>234.38</v>
      </c>
      <c r="AN149" s="295">
        <f t="shared" si="62"/>
        <v>1.4933014762351737</v>
      </c>
      <c r="AO149" s="145">
        <v>27</v>
      </c>
      <c r="AP149" s="85" t="s">
        <v>1267</v>
      </c>
      <c r="AQ149" s="297">
        <v>590</v>
      </c>
      <c r="AR149" s="33">
        <v>0</v>
      </c>
      <c r="AS149" s="34">
        <v>0</v>
      </c>
      <c r="AT149" s="34">
        <v>10</v>
      </c>
      <c r="AU149" s="73">
        <v>0</v>
      </c>
      <c r="AV149" s="39">
        <v>42</v>
      </c>
      <c r="AW149" s="143">
        <v>296</v>
      </c>
      <c r="AX149" s="33">
        <v>0</v>
      </c>
      <c r="AY149" s="34">
        <v>0</v>
      </c>
      <c r="AZ149" s="34">
        <v>5</v>
      </c>
      <c r="BA149" s="84">
        <v>0</v>
      </c>
      <c r="BB149" s="586">
        <v>6</v>
      </c>
      <c r="BC149" s="590">
        <v>1.67E-06</v>
      </c>
      <c r="BD149" s="588">
        <f t="shared" si="51"/>
        <v>130.20678325258032</v>
      </c>
      <c r="BE149" s="299"/>
      <c r="BF149" s="300"/>
      <c r="BG149" s="112"/>
      <c r="BH149" s="541"/>
      <c r="BI149" s="301">
        <v>6</v>
      </c>
      <c r="BJ149" s="696" t="s">
        <v>1476</v>
      </c>
      <c r="BK149" s="13" t="s">
        <v>136</v>
      </c>
      <c r="BL149" s="303" t="s">
        <v>1359</v>
      </c>
      <c r="BM149" s="86" t="s">
        <v>285</v>
      </c>
      <c r="BN149" s="303" t="s">
        <v>104</v>
      </c>
      <c r="BO149" s="86"/>
      <c r="BP149" s="1" t="s">
        <v>1255</v>
      </c>
      <c r="BR149" s="1">
        <v>72</v>
      </c>
      <c r="BS149" s="21">
        <v>593</v>
      </c>
      <c r="BT149" s="605"/>
      <c r="BU149" s="600">
        <v>4.5</v>
      </c>
      <c r="BV149" s="601">
        <v>0.2</v>
      </c>
      <c r="BW149" s="386">
        <f>$R149</f>
        <v>140</v>
      </c>
      <c r="BX149" s="329">
        <f>IF($F149&gt;0,$BW149*$D$208,"")</f>
        <v>178.5</v>
      </c>
      <c r="BY149" s="329">
        <f>IF($F149&gt;1,$BX149*$D$209,"")</f>
        <v>227.58749999999998</v>
      </c>
      <c r="BZ149" s="329">
        <f>IF($F149&gt;2,$BY149*$D$210,"")</f>
        <v>290.17406249999993</v>
      </c>
      <c r="CA149" s="329">
        <f>IF($F149&gt;3,$BZ149*$D$211,"")</f>
      </c>
      <c r="CB149" s="329">
        <f>IF($F149&gt;4,$CA149*$D$212,"")</f>
      </c>
      <c r="CC149" s="329">
        <f>IF($F149&gt;5,$CB149*$D$213,"")</f>
      </c>
      <c r="CD149" s="329">
        <f>IF($F149&gt;6,$CC149*$D$214,"")</f>
      </c>
      <c r="CE149" s="485" t="s">
        <v>316</v>
      </c>
      <c r="CF149" s="853" t="s">
        <v>919</v>
      </c>
      <c r="CG149" s="440" t="s">
        <v>556</v>
      </c>
      <c r="CH149" s="305">
        <v>282500</v>
      </c>
      <c r="CI149" s="305">
        <f t="shared" si="63"/>
        <v>84750</v>
      </c>
      <c r="CJ149" s="306">
        <f t="shared" si="64"/>
        <v>197750</v>
      </c>
      <c r="CK149" s="307" t="e">
        <f>CJ149-#REF!</f>
        <v>#REF!</v>
      </c>
      <c r="CL149" s="592">
        <v>282500</v>
      </c>
      <c r="CM149" s="21">
        <f t="shared" si="52"/>
        <v>1</v>
      </c>
      <c r="CN149" s="21">
        <f t="shared" si="53"/>
        <v>3.3333333333333335</v>
      </c>
      <c r="CO149" s="54"/>
      <c r="CP149" s="625">
        <f t="shared" si="54"/>
        <v>130</v>
      </c>
      <c r="CQ149" s="623">
        <f t="shared" si="55"/>
        <v>110</v>
      </c>
      <c r="CR149" s="624" t="str">
        <f t="shared" si="56"/>
        <v>~</v>
      </c>
      <c r="CS149" s="634">
        <f t="shared" si="57"/>
        <v>296</v>
      </c>
      <c r="CT149" s="591">
        <f t="shared" si="43"/>
        <v>1006000</v>
      </c>
      <c r="CU149" s="591">
        <f t="shared" si="48"/>
        <v>370</v>
      </c>
      <c r="CV149" s="591">
        <v>1500</v>
      </c>
      <c r="CW149" s="54"/>
      <c r="CX149" s="54"/>
      <c r="CY149" s="54"/>
      <c r="CZ149" s="54"/>
      <c r="DA149" s="54">
        <v>1.6875</v>
      </c>
      <c r="DB149" s="54">
        <v>6.25</v>
      </c>
      <c r="DC149" s="649">
        <f t="shared" si="58"/>
        <v>2.70614</v>
      </c>
    </row>
    <row r="150" spans="1:107" ht="12.75">
      <c r="A150" s="24" t="s">
        <v>1724</v>
      </c>
      <c r="B150" s="69" t="s">
        <v>1724</v>
      </c>
      <c r="C150" s="319" t="s">
        <v>99</v>
      </c>
      <c r="D150" s="122">
        <v>40</v>
      </c>
      <c r="E150" s="120" t="s">
        <v>1140</v>
      </c>
      <c r="F150" s="15">
        <v>2</v>
      </c>
      <c r="G150" s="18">
        <v>2</v>
      </c>
      <c r="H150" s="17">
        <v>4</v>
      </c>
      <c r="I150" s="740">
        <v>3</v>
      </c>
      <c r="J150" s="187">
        <v>1</v>
      </c>
      <c r="K150" s="188">
        <v>3</v>
      </c>
      <c r="L150" s="868">
        <v>135</v>
      </c>
      <c r="M150" s="884">
        <v>31</v>
      </c>
      <c r="N150" s="106">
        <v>400</v>
      </c>
      <c r="O150" s="454">
        <v>0</v>
      </c>
      <c r="P150" s="531">
        <v>0</v>
      </c>
      <c r="Q150" s="340">
        <v>250</v>
      </c>
      <c r="R150" s="98">
        <v>175</v>
      </c>
      <c r="S150" s="326">
        <f t="shared" si="47"/>
        <v>284.48437499999994</v>
      </c>
      <c r="T150" s="342">
        <v>1187</v>
      </c>
      <c r="U150" s="343">
        <v>20000</v>
      </c>
      <c r="V150" s="344">
        <v>2500</v>
      </c>
      <c r="W150" s="289">
        <v>2.65</v>
      </c>
      <c r="X150" s="340">
        <v>313</v>
      </c>
      <c r="Y150" s="43">
        <v>60</v>
      </c>
      <c r="Z150" s="44">
        <v>10</v>
      </c>
      <c r="AA150" s="44">
        <v>25</v>
      </c>
      <c r="AB150" s="49">
        <v>35</v>
      </c>
      <c r="AC150" s="345">
        <v>351</v>
      </c>
      <c r="AD150" s="312">
        <v>625</v>
      </c>
      <c r="AE150" s="292">
        <f t="shared" si="61"/>
        <v>0.5616</v>
      </c>
      <c r="AF150" s="43">
        <v>0</v>
      </c>
      <c r="AG150" s="44">
        <v>50</v>
      </c>
      <c r="AH150" s="44">
        <v>40</v>
      </c>
      <c r="AI150" s="45">
        <v>20</v>
      </c>
      <c r="AJ150" s="5">
        <f t="shared" si="50"/>
        <v>914</v>
      </c>
      <c r="AK150" s="103" t="str">
        <f t="shared" si="60"/>
        <v>S</v>
      </c>
      <c r="AL150" s="862">
        <v>187</v>
      </c>
      <c r="AM150" s="458">
        <v>140.63</v>
      </c>
      <c r="AN150" s="295">
        <f t="shared" si="62"/>
        <v>1.3297304984711655</v>
      </c>
      <c r="AO150" s="145">
        <v>32</v>
      </c>
      <c r="AP150" s="85" t="s">
        <v>175</v>
      </c>
      <c r="AQ150" s="297">
        <v>575</v>
      </c>
      <c r="AR150" s="33">
        <v>0</v>
      </c>
      <c r="AS150" s="34">
        <v>0</v>
      </c>
      <c r="AT150" s="34">
        <v>0</v>
      </c>
      <c r="AU150" s="73">
        <v>8</v>
      </c>
      <c r="AV150" s="39">
        <v>41</v>
      </c>
      <c r="AW150" s="143">
        <v>334</v>
      </c>
      <c r="AX150" s="33">
        <v>0</v>
      </c>
      <c r="AY150" s="34">
        <v>0</v>
      </c>
      <c r="AZ150" s="34">
        <v>0</v>
      </c>
      <c r="BA150" s="84">
        <v>6</v>
      </c>
      <c r="BB150" s="586">
        <v>6</v>
      </c>
      <c r="BC150" s="590">
        <v>2.24E-06</v>
      </c>
      <c r="BD150" s="588">
        <f t="shared" si="51"/>
        <v>43.95647791551329</v>
      </c>
      <c r="BE150" s="299"/>
      <c r="BF150" s="300"/>
      <c r="BG150" s="112"/>
      <c r="BH150" s="541"/>
      <c r="BI150" s="301">
        <v>5</v>
      </c>
      <c r="BJ150" s="696" t="s">
        <v>1476</v>
      </c>
      <c r="BK150" s="13" t="s">
        <v>1671</v>
      </c>
      <c r="BL150" s="303" t="s">
        <v>724</v>
      </c>
      <c r="BM150" s="86" t="s">
        <v>1350</v>
      </c>
      <c r="BN150" s="303" t="s">
        <v>104</v>
      </c>
      <c r="BO150" s="86"/>
      <c r="BP150" s="1" t="s">
        <v>1351</v>
      </c>
      <c r="BR150" s="1">
        <v>99</v>
      </c>
      <c r="BS150" s="21">
        <v>598</v>
      </c>
      <c r="BT150" s="605"/>
      <c r="BU150" s="600">
        <v>4.5</v>
      </c>
      <c r="BV150" s="601">
        <v>0</v>
      </c>
      <c r="BW150" s="386">
        <f>$R150</f>
        <v>175</v>
      </c>
      <c r="BX150" s="329">
        <f>IF($F150&gt;0,$BW150*$D$208,"")</f>
        <v>223.12499999999997</v>
      </c>
      <c r="BY150" s="329">
        <f>IF($F150&gt;1,$BX150*$D$209,"")</f>
        <v>284.48437499999994</v>
      </c>
      <c r="BZ150" s="329">
        <f>IF($F150&gt;2,$BY150*$D$210,"")</f>
      </c>
      <c r="CA150" s="329">
        <f>IF($F150&gt;3,$BZ150*$D$211,"")</f>
      </c>
      <c r="CB150" s="329">
        <f>IF($F150&gt;4,$CA150*$D$212,"")</f>
      </c>
      <c r="CC150" s="329">
        <f>IF($F150&gt;5,$CB150*$D$213,"")</f>
      </c>
      <c r="CD150" s="329">
        <f>IF($F150&gt;6,$CC150*$D$214,"")</f>
      </c>
      <c r="CE150" s="485" t="s">
        <v>1029</v>
      </c>
      <c r="CF150" s="853" t="s">
        <v>919</v>
      </c>
      <c r="CG150" s="440" t="s">
        <v>529</v>
      </c>
      <c r="CH150" s="305">
        <v>222500</v>
      </c>
      <c r="CI150" s="305">
        <f t="shared" si="63"/>
        <v>66750</v>
      </c>
      <c r="CJ150" s="306">
        <f t="shared" si="64"/>
        <v>155750</v>
      </c>
      <c r="CK150" s="307" t="e">
        <f>CJ150-#REF!</f>
        <v>#REF!</v>
      </c>
      <c r="CL150" s="592">
        <v>222500</v>
      </c>
      <c r="CM150" s="21">
        <f t="shared" si="52"/>
        <v>1</v>
      </c>
      <c r="CN150" s="21">
        <f t="shared" si="53"/>
        <v>3.3333333333333335</v>
      </c>
      <c r="CO150" s="54"/>
      <c r="CP150" s="622">
        <f t="shared" si="54"/>
        <v>130</v>
      </c>
      <c r="CQ150" s="623">
        <f t="shared" si="55"/>
        <v>110</v>
      </c>
      <c r="CR150" s="624" t="str">
        <f t="shared" si="56"/>
        <v>S</v>
      </c>
      <c r="CS150" s="634">
        <f t="shared" si="57"/>
        <v>334</v>
      </c>
      <c r="CT150" s="591">
        <f t="shared" si="43"/>
        <v>1187000</v>
      </c>
      <c r="CU150" s="591">
        <f t="shared" si="48"/>
        <v>417.5</v>
      </c>
      <c r="CV150" s="591">
        <v>1500</v>
      </c>
      <c r="CW150" s="54"/>
      <c r="CX150" s="54"/>
      <c r="CY150" s="54"/>
      <c r="CZ150" s="54"/>
      <c r="DA150" s="54">
        <v>1.6875</v>
      </c>
      <c r="DB150" s="54">
        <v>6.25</v>
      </c>
      <c r="DC150" s="649">
        <f t="shared" si="58"/>
        <v>3.1455499999999996</v>
      </c>
    </row>
    <row r="151" spans="1:107" ht="12.75">
      <c r="A151" s="24" t="s">
        <v>1353</v>
      </c>
      <c r="B151" s="69" t="s">
        <v>1353</v>
      </c>
      <c r="C151" s="319" t="s">
        <v>99</v>
      </c>
      <c r="D151" s="122">
        <v>40</v>
      </c>
      <c r="E151" s="120" t="s">
        <v>1140</v>
      </c>
      <c r="F151" s="15">
        <v>1</v>
      </c>
      <c r="G151" s="18">
        <v>3</v>
      </c>
      <c r="H151" s="17">
        <v>2</v>
      </c>
      <c r="I151" s="16">
        <v>0</v>
      </c>
      <c r="J151" s="187">
        <v>2</v>
      </c>
      <c r="K151" s="188">
        <v>3</v>
      </c>
      <c r="L151" s="868">
        <v>140</v>
      </c>
      <c r="M151" s="884">
        <v>15</v>
      </c>
      <c r="N151" s="106">
        <v>400</v>
      </c>
      <c r="O151" s="454">
        <v>0</v>
      </c>
      <c r="P151" s="531">
        <v>0</v>
      </c>
      <c r="Q151" s="340">
        <v>188</v>
      </c>
      <c r="R151" s="814">
        <v>225</v>
      </c>
      <c r="S151" s="815">
        <f t="shared" si="47"/>
        <v>286.875</v>
      </c>
      <c r="T151" s="342">
        <v>1096</v>
      </c>
      <c r="U151" s="343">
        <v>17100</v>
      </c>
      <c r="V151" s="344">
        <v>2500</v>
      </c>
      <c r="W151" s="289">
        <v>2.67</v>
      </c>
      <c r="X151" s="340">
        <v>188</v>
      </c>
      <c r="Y151" s="43">
        <v>60</v>
      </c>
      <c r="Z151" s="44">
        <v>10</v>
      </c>
      <c r="AA151" s="44">
        <v>25</v>
      </c>
      <c r="AB151" s="49">
        <v>35</v>
      </c>
      <c r="AC151" s="345">
        <v>118</v>
      </c>
      <c r="AD151" s="312">
        <v>625</v>
      </c>
      <c r="AE151" s="292">
        <f t="shared" si="61"/>
        <v>0.1888</v>
      </c>
      <c r="AF151" s="43">
        <v>0</v>
      </c>
      <c r="AG151" s="44">
        <v>50</v>
      </c>
      <c r="AH151" s="44">
        <v>40</v>
      </c>
      <c r="AI151" s="45">
        <v>20</v>
      </c>
      <c r="AJ151" s="5">
        <f t="shared" si="50"/>
        <v>494</v>
      </c>
      <c r="AK151" s="103" t="str">
        <f t="shared" si="60"/>
        <v>A</v>
      </c>
      <c r="AL151" s="862">
        <v>125</v>
      </c>
      <c r="AM151" s="458">
        <v>93.75</v>
      </c>
      <c r="AN151" s="295">
        <f t="shared" si="62"/>
        <v>1.3333333333333333</v>
      </c>
      <c r="AO151" s="145">
        <v>22</v>
      </c>
      <c r="AP151" s="85" t="s">
        <v>175</v>
      </c>
      <c r="AQ151" s="297">
        <v>565</v>
      </c>
      <c r="AR151" s="33">
        <v>0</v>
      </c>
      <c r="AS151" s="34">
        <v>0</v>
      </c>
      <c r="AT151" s="34">
        <v>0</v>
      </c>
      <c r="AU151" s="73">
        <v>4</v>
      </c>
      <c r="AV151" s="39">
        <v>43</v>
      </c>
      <c r="AW151" s="143">
        <v>315</v>
      </c>
      <c r="AX151" s="33">
        <v>0</v>
      </c>
      <c r="AY151" s="34">
        <v>0</v>
      </c>
      <c r="AZ151" s="34">
        <v>0</v>
      </c>
      <c r="BA151" s="84">
        <v>4</v>
      </c>
      <c r="BB151" s="586">
        <v>6</v>
      </c>
      <c r="BC151" s="590">
        <v>2.24E-06</v>
      </c>
      <c r="BD151" s="588">
        <f t="shared" si="51"/>
        <v>31.822292101147024</v>
      </c>
      <c r="BE151" s="299"/>
      <c r="BF151" s="300"/>
      <c r="BG151" s="112"/>
      <c r="BH151" s="541"/>
      <c r="BI151" s="301">
        <v>1</v>
      </c>
      <c r="BJ151" s="696" t="s">
        <v>1476</v>
      </c>
      <c r="BK151" s="13" t="s">
        <v>722</v>
      </c>
      <c r="BL151" s="303" t="s">
        <v>645</v>
      </c>
      <c r="BM151" s="86" t="s">
        <v>1224</v>
      </c>
      <c r="BN151" s="303" t="s">
        <v>104</v>
      </c>
      <c r="BO151" s="86"/>
      <c r="BP151" s="1" t="s">
        <v>1225</v>
      </c>
      <c r="BR151" s="1">
        <v>122</v>
      </c>
      <c r="BS151" s="21">
        <v>599</v>
      </c>
      <c r="BT151" s="605" t="s">
        <v>214</v>
      </c>
      <c r="BU151" s="610">
        <v>2</v>
      </c>
      <c r="BV151" s="601">
        <v>0</v>
      </c>
      <c r="BW151" s="388">
        <f>$R151+IF(AND($C151="Amarr",$D151=40),($R151*0.05*$G$212),IF(AND($C151="Caldari",$D151=40),($R151*0.05*$G$213),IF(AND($C151="Gallente",$D151=40),(R151*0.05*$G$214),IF(AND($C151="Minmatar",$D151=40),($R151*0.05*$G$215),""))))</f>
        <v>225</v>
      </c>
      <c r="BX151" s="329">
        <f>IF($F151&gt;0,$BW151*$D$208,"")</f>
        <v>286.875</v>
      </c>
      <c r="BY151" s="329">
        <f>IF($F151&gt;1,$BX151*$D$209,"")</f>
      </c>
      <c r="BZ151" s="329">
        <f>IF($F151&gt;2,$BY151*$D$210,"")</f>
      </c>
      <c r="CA151" s="329">
        <f>IF($F151&gt;3,$BZ151*$D$211,"")</f>
      </c>
      <c r="CB151" s="329">
        <f>IF($F151&gt;4,$CA151*$D$212,"")</f>
      </c>
      <c r="CC151" s="329">
        <f>IF($F151&gt;5,$CB151*$D$213,"")</f>
      </c>
      <c r="CD151" s="329">
        <f>IF($F151&gt;6,$CC151*$D$214,"")</f>
      </c>
      <c r="CE151" s="485" t="s">
        <v>714</v>
      </c>
      <c r="CF151" s="853" t="s">
        <v>919</v>
      </c>
      <c r="CG151" s="440" t="s">
        <v>530</v>
      </c>
      <c r="CH151" s="305">
        <v>22500</v>
      </c>
      <c r="CI151" s="305">
        <f t="shared" si="63"/>
        <v>6750</v>
      </c>
      <c r="CJ151" s="306">
        <f t="shared" si="64"/>
        <v>15750</v>
      </c>
      <c r="CK151" s="307" t="e">
        <f>CJ151-#REF!</f>
        <v>#REF!</v>
      </c>
      <c r="CL151" s="592">
        <v>22500</v>
      </c>
      <c r="CM151" s="21">
        <f t="shared" si="52"/>
        <v>1</v>
      </c>
      <c r="CN151" s="21">
        <f t="shared" si="53"/>
        <v>3.3333333333333335</v>
      </c>
      <c r="CO151" s="54"/>
      <c r="CP151" s="625">
        <f t="shared" si="54"/>
        <v>130</v>
      </c>
      <c r="CQ151" s="626">
        <f t="shared" si="55"/>
        <v>110</v>
      </c>
      <c r="CR151" s="624" t="str">
        <f t="shared" si="56"/>
        <v>A</v>
      </c>
      <c r="CS151" s="634">
        <f t="shared" si="57"/>
        <v>315</v>
      </c>
      <c r="CT151" s="591">
        <f t="shared" si="43"/>
        <v>1096000</v>
      </c>
      <c r="CU151" s="591">
        <f t="shared" si="48"/>
        <v>393.75</v>
      </c>
      <c r="CV151" s="591">
        <v>1500</v>
      </c>
      <c r="CW151" s="54"/>
      <c r="CX151" s="54"/>
      <c r="CY151" s="54"/>
      <c r="CZ151" s="54"/>
      <c r="DA151" s="54">
        <v>1.6875</v>
      </c>
      <c r="DB151" s="54">
        <v>6.25</v>
      </c>
      <c r="DC151" s="649">
        <f t="shared" si="58"/>
        <v>2.9263199999999996</v>
      </c>
    </row>
    <row r="152" spans="1:107" ht="12.75">
      <c r="A152" s="24" t="s">
        <v>1227</v>
      </c>
      <c r="B152" s="69" t="s">
        <v>1227</v>
      </c>
      <c r="C152" s="319" t="s">
        <v>99</v>
      </c>
      <c r="D152" s="122">
        <v>40</v>
      </c>
      <c r="E152" s="120" t="s">
        <v>1140</v>
      </c>
      <c r="F152" s="15">
        <v>2</v>
      </c>
      <c r="G152" s="18">
        <v>2</v>
      </c>
      <c r="H152" s="17">
        <v>2</v>
      </c>
      <c r="I152" s="16">
        <v>0</v>
      </c>
      <c r="J152" s="187">
        <v>2</v>
      </c>
      <c r="K152" s="188">
        <v>3</v>
      </c>
      <c r="L152" s="868">
        <v>220</v>
      </c>
      <c r="M152" s="884">
        <v>20</v>
      </c>
      <c r="N152" s="106">
        <v>400</v>
      </c>
      <c r="O152" s="454">
        <v>10</v>
      </c>
      <c r="P152" s="531">
        <v>10</v>
      </c>
      <c r="Q152" s="340">
        <v>274</v>
      </c>
      <c r="R152" s="816">
        <v>320</v>
      </c>
      <c r="S152" s="817">
        <f t="shared" si="47"/>
        <v>520.1999999999999</v>
      </c>
      <c r="T152" s="342">
        <v>1123</v>
      </c>
      <c r="U152" s="343">
        <v>19500</v>
      </c>
      <c r="V152" s="344">
        <v>2500</v>
      </c>
      <c r="W152" s="289">
        <v>2.51</v>
      </c>
      <c r="X152" s="340">
        <v>274</v>
      </c>
      <c r="Y152" s="43">
        <v>60</v>
      </c>
      <c r="Z152" s="44">
        <v>10</v>
      </c>
      <c r="AA152" s="44">
        <v>25</v>
      </c>
      <c r="AB152" s="49">
        <v>35</v>
      </c>
      <c r="AC152" s="345">
        <v>195</v>
      </c>
      <c r="AD152" s="312">
        <v>625</v>
      </c>
      <c r="AE152" s="292">
        <f t="shared" si="61"/>
        <v>0.312</v>
      </c>
      <c r="AF152" s="43">
        <v>0</v>
      </c>
      <c r="AG152" s="44">
        <v>50</v>
      </c>
      <c r="AH152" s="44">
        <v>40</v>
      </c>
      <c r="AI152" s="45">
        <v>20</v>
      </c>
      <c r="AJ152" s="5">
        <f t="shared" si="50"/>
        <v>743</v>
      </c>
      <c r="AK152" s="103" t="str">
        <f t="shared" si="60"/>
        <v>A</v>
      </c>
      <c r="AL152" s="862">
        <v>156</v>
      </c>
      <c r="AM152" s="458">
        <v>117.19</v>
      </c>
      <c r="AN152" s="295">
        <f t="shared" si="62"/>
        <v>1.3311716016724977</v>
      </c>
      <c r="AO152" s="145">
        <v>32</v>
      </c>
      <c r="AP152" s="85" t="s">
        <v>175</v>
      </c>
      <c r="AQ152" s="297">
        <v>465</v>
      </c>
      <c r="AR152" s="33">
        <v>0</v>
      </c>
      <c r="AS152" s="34">
        <v>0</v>
      </c>
      <c r="AT152" s="34">
        <v>0</v>
      </c>
      <c r="AU152" s="73">
        <v>7</v>
      </c>
      <c r="AV152" s="39">
        <v>41</v>
      </c>
      <c r="AW152" s="143">
        <v>334</v>
      </c>
      <c r="AX152" s="33">
        <v>0</v>
      </c>
      <c r="AY152" s="34">
        <v>0</v>
      </c>
      <c r="AZ152" s="34">
        <v>0</v>
      </c>
      <c r="BA152" s="84">
        <v>5</v>
      </c>
      <c r="BB152" s="586">
        <v>6</v>
      </c>
      <c r="BC152" s="590">
        <v>2.24E-06</v>
      </c>
      <c r="BD152" s="588">
        <f t="shared" si="51"/>
        <v>38.759381758046054</v>
      </c>
      <c r="BE152" s="299"/>
      <c r="BF152" s="300"/>
      <c r="BG152" s="112"/>
      <c r="BH152" s="541"/>
      <c r="BI152" s="301">
        <v>3</v>
      </c>
      <c r="BJ152" s="696" t="s">
        <v>1476</v>
      </c>
      <c r="BK152" s="13" t="s">
        <v>600</v>
      </c>
      <c r="BL152" s="303" t="s">
        <v>1145</v>
      </c>
      <c r="BM152" s="86" t="s">
        <v>1628</v>
      </c>
      <c r="BN152" s="303" t="s">
        <v>104</v>
      </c>
      <c r="BO152" s="86"/>
      <c r="BP152" s="1" t="s">
        <v>1629</v>
      </c>
      <c r="BR152" s="1">
        <v>39</v>
      </c>
      <c r="BS152" s="21">
        <v>586</v>
      </c>
      <c r="BT152" s="605" t="s">
        <v>214</v>
      </c>
      <c r="BU152" s="610">
        <v>2</v>
      </c>
      <c r="BV152" s="601">
        <v>0.4</v>
      </c>
      <c r="BW152" s="388">
        <f>$R152+IF(AND($C152="Amarr",$D152=40),($R152*0.05*$G$212),IF(AND($C152="Caldari",$D152=40),($R152*0.05*$G$213),IF(AND($C152="Gallente",$D152=40),(R152*0.05*$G$214),IF(AND($C152="Minmatar",$D152=40),($R152*0.05*$G$215),""))))</f>
        <v>320</v>
      </c>
      <c r="BX152" s="329">
        <f>IF($F152&gt;0,$BW152*$D$208,"")</f>
        <v>408</v>
      </c>
      <c r="BY152" s="329">
        <f>IF($F152&gt;1,$BX152*$D$209,"")</f>
        <v>520.1999999999999</v>
      </c>
      <c r="BZ152" s="329">
        <f>IF($F152&gt;2,$BY152*$D$210,"")</f>
      </c>
      <c r="CA152" s="329">
        <f>IF($F152&gt;3,$BZ152*$D$211,"")</f>
      </c>
      <c r="CB152" s="329">
        <f>IF($F152&gt;4,$CA152*$D$212,"")</f>
      </c>
      <c r="CC152" s="329">
        <f>IF($F152&gt;5,$CB152*$D$213,"")</f>
      </c>
      <c r="CD152" s="329">
        <f>IF($F152&gt;6,$CC152*$D$214,"")</f>
      </c>
      <c r="CE152" s="485" t="s">
        <v>716</v>
      </c>
      <c r="CF152" s="853" t="s">
        <v>919</v>
      </c>
      <c r="CG152" s="440" t="s">
        <v>531</v>
      </c>
      <c r="CH152" s="305">
        <v>108500</v>
      </c>
      <c r="CI152" s="305">
        <f t="shared" si="63"/>
        <v>32550</v>
      </c>
      <c r="CJ152" s="306">
        <f t="shared" si="64"/>
        <v>75950</v>
      </c>
      <c r="CK152" s="307" t="e">
        <f>CJ152-#REF!</f>
        <v>#REF!</v>
      </c>
      <c r="CL152" s="592">
        <v>108500</v>
      </c>
      <c r="CM152" s="21">
        <f t="shared" si="52"/>
        <v>1</v>
      </c>
      <c r="CN152" s="21">
        <f t="shared" si="53"/>
        <v>3.3333333333333335</v>
      </c>
      <c r="CO152" s="54"/>
      <c r="CP152" s="625">
        <f t="shared" si="54"/>
        <v>130</v>
      </c>
      <c r="CQ152" s="626">
        <f t="shared" si="55"/>
        <v>110</v>
      </c>
      <c r="CR152" s="624" t="str">
        <f t="shared" si="56"/>
        <v>A</v>
      </c>
      <c r="CS152" s="634">
        <f t="shared" si="57"/>
        <v>334</v>
      </c>
      <c r="CT152" s="591">
        <f t="shared" si="43"/>
        <v>1123000</v>
      </c>
      <c r="CU152" s="591">
        <f t="shared" si="48"/>
        <v>417.5</v>
      </c>
      <c r="CV152" s="591">
        <v>1500</v>
      </c>
      <c r="CW152" s="54"/>
      <c r="CX152" s="54"/>
      <c r="CY152" s="54"/>
      <c r="CZ152" s="54"/>
      <c r="DA152" s="54">
        <v>1.6875</v>
      </c>
      <c r="DB152" s="54">
        <v>6.25</v>
      </c>
      <c r="DC152" s="649">
        <f t="shared" si="58"/>
        <v>2.8187299999999995</v>
      </c>
    </row>
    <row r="153" spans="1:107" ht="12.75">
      <c r="A153" s="24" t="s">
        <v>1625</v>
      </c>
      <c r="B153" s="69" t="s">
        <v>1625</v>
      </c>
      <c r="C153" s="319" t="s">
        <v>99</v>
      </c>
      <c r="D153" s="122">
        <v>40</v>
      </c>
      <c r="E153" s="120" t="s">
        <v>1140</v>
      </c>
      <c r="F153" s="15">
        <v>3</v>
      </c>
      <c r="G153" s="18">
        <v>3</v>
      </c>
      <c r="H153" s="17">
        <v>4</v>
      </c>
      <c r="I153" s="16">
        <v>2</v>
      </c>
      <c r="J153" s="737">
        <v>3</v>
      </c>
      <c r="K153" s="188">
        <v>3</v>
      </c>
      <c r="L153" s="868">
        <v>125</v>
      </c>
      <c r="M153" s="884">
        <v>37</v>
      </c>
      <c r="N153" s="106">
        <v>400</v>
      </c>
      <c r="O153" s="454">
        <v>0</v>
      </c>
      <c r="P153" s="531">
        <v>0</v>
      </c>
      <c r="Q153" s="340">
        <v>336</v>
      </c>
      <c r="R153" s="98">
        <v>130</v>
      </c>
      <c r="S153" s="326">
        <f t="shared" si="47"/>
        <v>269.44734374999996</v>
      </c>
      <c r="T153" s="342">
        <v>1067</v>
      </c>
      <c r="U153" s="343">
        <v>27289</v>
      </c>
      <c r="V153" s="344">
        <v>2500</v>
      </c>
      <c r="W153" s="289">
        <v>2.23</v>
      </c>
      <c r="X153" s="340">
        <v>351</v>
      </c>
      <c r="Y153" s="43">
        <v>60</v>
      </c>
      <c r="Z153" s="44">
        <v>10</v>
      </c>
      <c r="AA153" s="44">
        <v>25</v>
      </c>
      <c r="AB153" s="49">
        <v>35</v>
      </c>
      <c r="AC153" s="345">
        <v>391</v>
      </c>
      <c r="AD153" s="312">
        <v>625</v>
      </c>
      <c r="AE153" s="292">
        <f t="shared" si="61"/>
        <v>0.6256</v>
      </c>
      <c r="AF153" s="43">
        <v>0</v>
      </c>
      <c r="AG153" s="44">
        <v>50</v>
      </c>
      <c r="AH153" s="44">
        <v>40</v>
      </c>
      <c r="AI153" s="45">
        <v>20</v>
      </c>
      <c r="AJ153" s="5">
        <f t="shared" si="50"/>
        <v>1078</v>
      </c>
      <c r="AK153" s="103" t="str">
        <f t="shared" si="60"/>
        <v>S</v>
      </c>
      <c r="AL153" s="862">
        <v>250</v>
      </c>
      <c r="AM153" s="458">
        <v>187.5</v>
      </c>
      <c r="AN153" s="295">
        <f t="shared" si="62"/>
        <v>1.3333333333333333</v>
      </c>
      <c r="AO153" s="145">
        <v>22</v>
      </c>
      <c r="AP153" s="85" t="s">
        <v>463</v>
      </c>
      <c r="AQ153" s="297">
        <v>660</v>
      </c>
      <c r="AR153" s="33">
        <v>0</v>
      </c>
      <c r="AS153" s="34">
        <v>0</v>
      </c>
      <c r="AT153" s="34">
        <v>0</v>
      </c>
      <c r="AU153" s="73">
        <v>8</v>
      </c>
      <c r="AV153" s="39">
        <v>35</v>
      </c>
      <c r="AW153" s="143">
        <v>353</v>
      </c>
      <c r="AX153" s="33">
        <v>0</v>
      </c>
      <c r="AY153" s="34">
        <v>0</v>
      </c>
      <c r="AZ153" s="34">
        <v>0</v>
      </c>
      <c r="BA153" s="84">
        <v>6</v>
      </c>
      <c r="BB153" s="586">
        <v>6</v>
      </c>
      <c r="BC153" s="590">
        <v>2.24E-06</v>
      </c>
      <c r="BD153" s="588">
        <f t="shared" si="51"/>
        <v>65.3743807738653</v>
      </c>
      <c r="BE153" s="299"/>
      <c r="BF153" s="300"/>
      <c r="BG153" s="112"/>
      <c r="BH153" s="541"/>
      <c r="BI153" s="301">
        <v>6</v>
      </c>
      <c r="BJ153" s="696" t="s">
        <v>1476</v>
      </c>
      <c r="BK153" s="13" t="s">
        <v>136</v>
      </c>
      <c r="BL153" s="303" t="s">
        <v>1584</v>
      </c>
      <c r="BM153" s="86" t="s">
        <v>1490</v>
      </c>
      <c r="BN153" s="303" t="s">
        <v>104</v>
      </c>
      <c r="BO153" s="86"/>
      <c r="BP153" s="1" t="s">
        <v>1491</v>
      </c>
      <c r="BR153" s="1">
        <v>74</v>
      </c>
      <c r="BS153" s="21">
        <v>587</v>
      </c>
      <c r="BT153" s="605"/>
      <c r="BU153" s="600">
        <v>3.75</v>
      </c>
      <c r="BV153" s="601">
        <v>0</v>
      </c>
      <c r="BW153" s="386">
        <f aca="true" t="shared" si="65" ref="BW153:BW168">$R153</f>
        <v>130</v>
      </c>
      <c r="BX153" s="329">
        <f>IF($F153&gt;0,$BW153*$D$208,"")</f>
        <v>165.75</v>
      </c>
      <c r="BY153" s="329">
        <f>IF($F153&gt;1,$BX153*$D$209,"")</f>
        <v>211.33124999999998</v>
      </c>
      <c r="BZ153" s="329">
        <f>IF($F153&gt;2,$BY153*$D$210,"")</f>
        <v>269.44734374999996</v>
      </c>
      <c r="CA153" s="329">
        <f>IF($F153&gt;3,$BZ153*$D$211,"")</f>
      </c>
      <c r="CB153" s="329">
        <f>IF($F153&gt;4,$CA153*$D$212,"")</f>
      </c>
      <c r="CC153" s="329">
        <f>IF($F153&gt;5,$CB153*$D$213,"")</f>
      </c>
      <c r="CD153" s="329">
        <f>IF($F153&gt;6,$CC153*$D$214,"")</f>
      </c>
      <c r="CE153" s="485" t="s">
        <v>719</v>
      </c>
      <c r="CF153" s="853" t="s">
        <v>919</v>
      </c>
      <c r="CG153" s="440" t="s">
        <v>532</v>
      </c>
      <c r="CH153" s="305">
        <v>280000</v>
      </c>
      <c r="CI153" s="305">
        <f t="shared" si="63"/>
        <v>84000</v>
      </c>
      <c r="CJ153" s="306">
        <f t="shared" si="64"/>
        <v>196000</v>
      </c>
      <c r="CK153" s="307" t="e">
        <f>CJ153-#REF!</f>
        <v>#REF!</v>
      </c>
      <c r="CL153" s="592">
        <v>280000</v>
      </c>
      <c r="CM153" s="21">
        <f t="shared" si="52"/>
        <v>1</v>
      </c>
      <c r="CN153" s="21">
        <f t="shared" si="53"/>
        <v>3.3333333333333335</v>
      </c>
      <c r="CO153" s="54"/>
      <c r="CP153" s="622">
        <f t="shared" si="54"/>
        <v>130</v>
      </c>
      <c r="CQ153" s="623">
        <f t="shared" si="55"/>
        <v>110</v>
      </c>
      <c r="CR153" s="624" t="str">
        <f t="shared" si="56"/>
        <v>S</v>
      </c>
      <c r="CS153" s="634">
        <f t="shared" si="57"/>
        <v>353</v>
      </c>
      <c r="CT153" s="591">
        <f t="shared" si="43"/>
        <v>1067000</v>
      </c>
      <c r="CU153" s="591">
        <f t="shared" si="48"/>
        <v>441.25</v>
      </c>
      <c r="CV153" s="591">
        <v>1500</v>
      </c>
      <c r="CW153" s="54"/>
      <c r="CX153" s="54"/>
      <c r="CY153" s="54"/>
      <c r="CZ153" s="54"/>
      <c r="DA153" s="54">
        <v>1.6875</v>
      </c>
      <c r="DB153" s="54">
        <v>6.25</v>
      </c>
      <c r="DC153" s="649">
        <f t="shared" si="58"/>
        <v>2.37941</v>
      </c>
    </row>
    <row r="154" spans="1:107" ht="12.75">
      <c r="A154" s="24" t="s">
        <v>770</v>
      </c>
      <c r="B154" s="69" t="s">
        <v>770</v>
      </c>
      <c r="C154" s="319" t="s">
        <v>99</v>
      </c>
      <c r="D154" s="122">
        <v>40</v>
      </c>
      <c r="E154" s="120" t="s">
        <v>1140</v>
      </c>
      <c r="F154" s="15">
        <v>1</v>
      </c>
      <c r="G154" s="18">
        <v>2</v>
      </c>
      <c r="H154" s="17">
        <v>3</v>
      </c>
      <c r="I154" s="16">
        <v>1</v>
      </c>
      <c r="J154" s="738">
        <v>2</v>
      </c>
      <c r="K154" s="188">
        <v>3</v>
      </c>
      <c r="L154" s="867">
        <v>100</v>
      </c>
      <c r="M154" s="884">
        <v>20</v>
      </c>
      <c r="N154" s="106">
        <v>400</v>
      </c>
      <c r="O154" s="454">
        <v>0</v>
      </c>
      <c r="P154" s="531">
        <v>0</v>
      </c>
      <c r="Q154" s="340">
        <v>188</v>
      </c>
      <c r="R154" s="98">
        <v>120</v>
      </c>
      <c r="S154" s="326">
        <f aca="true" t="shared" si="66" ref="S154:S204">MAX($BW154:$CD154)</f>
        <v>153</v>
      </c>
      <c r="T154" s="342">
        <v>1150</v>
      </c>
      <c r="U154" s="343">
        <v>17400</v>
      </c>
      <c r="V154" s="344">
        <v>2500</v>
      </c>
      <c r="W154" s="289">
        <v>1.98</v>
      </c>
      <c r="X154" s="340">
        <v>243</v>
      </c>
      <c r="Y154" s="43">
        <v>60</v>
      </c>
      <c r="Z154" s="44">
        <v>10</v>
      </c>
      <c r="AA154" s="44">
        <v>25</v>
      </c>
      <c r="AB154" s="49">
        <v>35</v>
      </c>
      <c r="AC154" s="345">
        <v>235</v>
      </c>
      <c r="AD154" s="312">
        <v>625</v>
      </c>
      <c r="AE154" s="292">
        <f t="shared" si="61"/>
        <v>0.376</v>
      </c>
      <c r="AF154" s="43">
        <v>0</v>
      </c>
      <c r="AG154" s="44">
        <v>50</v>
      </c>
      <c r="AH154" s="44">
        <v>40</v>
      </c>
      <c r="AI154" s="45">
        <v>20</v>
      </c>
      <c r="AJ154" s="5">
        <f t="shared" si="50"/>
        <v>666</v>
      </c>
      <c r="AK154" s="103" t="str">
        <f t="shared" si="60"/>
        <v>~</v>
      </c>
      <c r="AL154" s="862">
        <v>156</v>
      </c>
      <c r="AM154" s="458">
        <v>117.19</v>
      </c>
      <c r="AN154" s="295">
        <f t="shared" si="62"/>
        <v>1.3311716016724977</v>
      </c>
      <c r="AO154" s="145">
        <v>17</v>
      </c>
      <c r="AP154" s="85" t="s">
        <v>463</v>
      </c>
      <c r="AQ154" s="297">
        <v>750</v>
      </c>
      <c r="AR154" s="33">
        <v>0</v>
      </c>
      <c r="AS154" s="34">
        <v>0</v>
      </c>
      <c r="AT154" s="34">
        <v>0</v>
      </c>
      <c r="AU154" s="73">
        <v>5</v>
      </c>
      <c r="AV154" s="39">
        <v>30</v>
      </c>
      <c r="AW154" s="143">
        <v>419</v>
      </c>
      <c r="AX154" s="33">
        <v>0</v>
      </c>
      <c r="AY154" s="34">
        <v>0</v>
      </c>
      <c r="AZ154" s="34">
        <v>0</v>
      </c>
      <c r="BA154" s="84">
        <v>5</v>
      </c>
      <c r="BB154" s="586">
        <v>6</v>
      </c>
      <c r="BC154" s="590">
        <v>2.24E-06</v>
      </c>
      <c r="BD154" s="588">
        <f t="shared" si="51"/>
        <v>37.849378881987576</v>
      </c>
      <c r="BE154" s="299"/>
      <c r="BF154" s="300"/>
      <c r="BG154" s="112"/>
      <c r="BH154" s="541"/>
      <c r="BI154" s="301">
        <v>2</v>
      </c>
      <c r="BJ154" s="696" t="s">
        <v>1476</v>
      </c>
      <c r="BK154" s="13" t="s">
        <v>206</v>
      </c>
      <c r="BL154" s="303" t="s">
        <v>1584</v>
      </c>
      <c r="BM154" s="86" t="s">
        <v>1100</v>
      </c>
      <c r="BN154" s="303" t="s">
        <v>104</v>
      </c>
      <c r="BO154" s="86"/>
      <c r="BP154" s="1" t="s">
        <v>1101</v>
      </c>
      <c r="BR154" s="1">
        <v>65</v>
      </c>
      <c r="BS154" s="21">
        <v>585</v>
      </c>
      <c r="BT154" s="605"/>
      <c r="BU154" s="600">
        <v>2.5</v>
      </c>
      <c r="BV154" s="601">
        <v>0</v>
      </c>
      <c r="BW154" s="386">
        <f t="shared" si="65"/>
        <v>120</v>
      </c>
      <c r="BX154" s="329">
        <f>IF($F154&gt;0,$BW154*$D$208,"")</f>
        <v>153</v>
      </c>
      <c r="BY154" s="329">
        <f>IF($F154&gt;1,$BX154*$D$209,"")</f>
      </c>
      <c r="BZ154" s="329">
        <f>IF($F154&gt;2,$BY154*$D$210,"")</f>
      </c>
      <c r="CA154" s="329">
        <f>IF($F154&gt;3,$BZ154*$D$211,"")</f>
      </c>
      <c r="CB154" s="329">
        <f>IF($F154&gt;4,$CA154*$D$212,"")</f>
      </c>
      <c r="CC154" s="329">
        <f>IF($F154&gt;5,$CB154*$D$213,"")</f>
      </c>
      <c r="CD154" s="329">
        <f>IF($F154&gt;6,$CC154*$D$214,"")</f>
      </c>
      <c r="CE154" s="485" t="s">
        <v>127</v>
      </c>
      <c r="CF154" s="853" t="s">
        <v>919</v>
      </c>
      <c r="CG154" s="440" t="s">
        <v>533</v>
      </c>
      <c r="CH154" s="305">
        <v>27500</v>
      </c>
      <c r="CI154" s="305">
        <f t="shared" si="63"/>
        <v>8250</v>
      </c>
      <c r="CJ154" s="306">
        <f t="shared" si="64"/>
        <v>19250</v>
      </c>
      <c r="CK154" s="307" t="e">
        <f>CJ154-#REF!</f>
        <v>#REF!</v>
      </c>
      <c r="CL154" s="592">
        <v>27500</v>
      </c>
      <c r="CM154" s="21">
        <f t="shared" si="52"/>
        <v>1</v>
      </c>
      <c r="CN154" s="21">
        <f t="shared" si="53"/>
        <v>3.3333333333333335</v>
      </c>
      <c r="CO154" s="54"/>
      <c r="CP154" s="625">
        <f t="shared" si="54"/>
        <v>130</v>
      </c>
      <c r="CQ154" s="623">
        <f t="shared" si="55"/>
        <v>110</v>
      </c>
      <c r="CR154" s="624" t="str">
        <f t="shared" si="56"/>
        <v>~</v>
      </c>
      <c r="CS154" s="634">
        <f t="shared" si="57"/>
        <v>419</v>
      </c>
      <c r="CT154" s="591">
        <f t="shared" si="43"/>
        <v>1150000</v>
      </c>
      <c r="CU154" s="591">
        <f t="shared" si="48"/>
        <v>523.75</v>
      </c>
      <c r="CV154" s="591">
        <v>1500</v>
      </c>
      <c r="CW154" s="54"/>
      <c r="CX154" s="54"/>
      <c r="CY154" s="54"/>
      <c r="CZ154" s="54"/>
      <c r="DA154" s="54">
        <v>1.6875</v>
      </c>
      <c r="DB154" s="54">
        <v>6.25</v>
      </c>
      <c r="DC154" s="649">
        <f t="shared" si="58"/>
        <v>2.277</v>
      </c>
    </row>
    <row r="155" spans="1:107" ht="12.75">
      <c r="A155" s="24" t="s">
        <v>981</v>
      </c>
      <c r="B155" s="69" t="s">
        <v>981</v>
      </c>
      <c r="C155" s="319" t="s">
        <v>99</v>
      </c>
      <c r="D155" s="122">
        <v>40</v>
      </c>
      <c r="E155" s="120" t="s">
        <v>1140</v>
      </c>
      <c r="F155" s="15">
        <v>3</v>
      </c>
      <c r="G155" s="739">
        <v>3</v>
      </c>
      <c r="H155" s="17">
        <v>3</v>
      </c>
      <c r="I155" s="16">
        <v>1</v>
      </c>
      <c r="J155" s="324">
        <v>2</v>
      </c>
      <c r="K155" s="188">
        <v>3</v>
      </c>
      <c r="L155" s="867">
        <v>210</v>
      </c>
      <c r="M155" s="884">
        <v>25</v>
      </c>
      <c r="N155" s="106">
        <v>400</v>
      </c>
      <c r="O155" s="454">
        <v>5</v>
      </c>
      <c r="P155" s="531">
        <v>5</v>
      </c>
      <c r="Q155" s="340">
        <v>258</v>
      </c>
      <c r="R155" s="98">
        <v>150</v>
      </c>
      <c r="S155" s="326">
        <f t="shared" si="66"/>
        <v>310.90078124999997</v>
      </c>
      <c r="T155" s="342">
        <v>1080</v>
      </c>
      <c r="U155" s="343">
        <v>17400</v>
      </c>
      <c r="V155" s="344">
        <v>2500</v>
      </c>
      <c r="W155" s="289">
        <v>2.26</v>
      </c>
      <c r="X155" s="340">
        <v>274</v>
      </c>
      <c r="Y155" s="43">
        <v>60</v>
      </c>
      <c r="Z155" s="44">
        <v>10</v>
      </c>
      <c r="AA155" s="44">
        <v>25</v>
      </c>
      <c r="AB155" s="49">
        <v>35</v>
      </c>
      <c r="AC155" s="345">
        <v>274</v>
      </c>
      <c r="AD155" s="312">
        <v>625</v>
      </c>
      <c r="AE155" s="292">
        <f t="shared" si="61"/>
        <v>0.4384</v>
      </c>
      <c r="AF155" s="43">
        <v>0</v>
      </c>
      <c r="AG155" s="44">
        <v>50</v>
      </c>
      <c r="AH155" s="44">
        <v>40</v>
      </c>
      <c r="AI155" s="45">
        <v>20</v>
      </c>
      <c r="AJ155" s="5">
        <f t="shared" si="50"/>
        <v>806</v>
      </c>
      <c r="AK155" s="103" t="str">
        <f t="shared" si="60"/>
        <v>=</v>
      </c>
      <c r="AL155" s="862">
        <v>250</v>
      </c>
      <c r="AM155" s="458">
        <v>187.5</v>
      </c>
      <c r="AN155" s="295">
        <f t="shared" si="62"/>
        <v>1.3333333333333333</v>
      </c>
      <c r="AO155" s="145">
        <v>45</v>
      </c>
      <c r="AP155" s="85" t="s">
        <v>465</v>
      </c>
      <c r="AQ155" s="297">
        <v>455</v>
      </c>
      <c r="AR155" s="33">
        <v>0</v>
      </c>
      <c r="AS155" s="34">
        <v>0</v>
      </c>
      <c r="AT155" s="34">
        <v>0</v>
      </c>
      <c r="AU155" s="73">
        <v>12</v>
      </c>
      <c r="AV155" s="39">
        <v>44</v>
      </c>
      <c r="AW155" s="923">
        <v>353</v>
      </c>
      <c r="AX155" s="33">
        <v>0</v>
      </c>
      <c r="AY155" s="34">
        <v>0</v>
      </c>
      <c r="AZ155" s="34">
        <v>0</v>
      </c>
      <c r="BA155" s="84">
        <v>5</v>
      </c>
      <c r="BB155" s="586">
        <v>6</v>
      </c>
      <c r="BC155" s="590">
        <v>2.24E-06</v>
      </c>
      <c r="BD155" s="588">
        <f t="shared" si="51"/>
        <v>64.58746693121694</v>
      </c>
      <c r="BE155" s="299"/>
      <c r="BF155" s="300"/>
      <c r="BG155" s="112"/>
      <c r="BH155" s="541"/>
      <c r="BI155" s="301">
        <v>4</v>
      </c>
      <c r="BJ155" s="696" t="s">
        <v>1476</v>
      </c>
      <c r="BK155" s="13" t="s">
        <v>181</v>
      </c>
      <c r="BL155" s="303" t="s">
        <v>731</v>
      </c>
      <c r="BM155" s="86" t="s">
        <v>429</v>
      </c>
      <c r="BN155" s="303" t="s">
        <v>104</v>
      </c>
      <c r="BO155" s="86"/>
      <c r="BP155" s="1" t="s">
        <v>430</v>
      </c>
      <c r="BR155" s="1">
        <v>65</v>
      </c>
      <c r="BS155" s="21">
        <v>3766</v>
      </c>
      <c r="BT155" s="605" t="s">
        <v>214</v>
      </c>
      <c r="BU155" s="610">
        <v>3</v>
      </c>
      <c r="BV155" s="601">
        <v>0.2</v>
      </c>
      <c r="BW155" s="386">
        <f t="shared" si="65"/>
        <v>150</v>
      </c>
      <c r="BX155" s="329">
        <f>IF($F155&gt;0,$BW155*$D$208,"")</f>
        <v>191.25</v>
      </c>
      <c r="BY155" s="329">
        <f>IF($F155&gt;1,$BX155*$D$209,"")</f>
        <v>243.84374999999997</v>
      </c>
      <c r="BZ155" s="329">
        <f>IF($F155&gt;2,$BY155*$D$210,"")</f>
        <v>310.90078124999997</v>
      </c>
      <c r="CA155" s="329">
        <f>IF($F155&gt;3,$BZ155*$D$211,"")</f>
      </c>
      <c r="CB155" s="329">
        <f>IF($F155&gt;4,$CA155*$D$212,"")</f>
      </c>
      <c r="CC155" s="329">
        <f>IF($F155&gt;5,$CB155*$D$213,"")</f>
      </c>
      <c r="CD155" s="329">
        <f>IF($F155&gt;6,$CC155*$D$214,"")</f>
      </c>
      <c r="CE155" s="485" t="s">
        <v>129</v>
      </c>
      <c r="CF155" s="853" t="s">
        <v>919</v>
      </c>
      <c r="CG155" s="440" t="s">
        <v>534</v>
      </c>
      <c r="CH155" s="305">
        <v>172500</v>
      </c>
      <c r="CI155" s="305">
        <f t="shared" si="63"/>
        <v>51750</v>
      </c>
      <c r="CJ155" s="306">
        <f t="shared" si="64"/>
        <v>120750</v>
      </c>
      <c r="CK155" s="307" t="e">
        <f>CJ155-#REF!</f>
        <v>#REF!</v>
      </c>
      <c r="CL155" s="592">
        <v>172500</v>
      </c>
      <c r="CM155" s="21">
        <f t="shared" si="52"/>
        <v>1</v>
      </c>
      <c r="CN155" s="21">
        <f t="shared" si="53"/>
        <v>3.3333333333333335</v>
      </c>
      <c r="CO155" s="54"/>
      <c r="CP155" s="625">
        <f t="shared" si="54"/>
        <v>130</v>
      </c>
      <c r="CQ155" s="623">
        <f t="shared" si="55"/>
        <v>110</v>
      </c>
      <c r="CR155" s="624" t="str">
        <f t="shared" si="56"/>
        <v>=</v>
      </c>
      <c r="CS155" s="634">
        <f t="shared" si="57"/>
        <v>353</v>
      </c>
      <c r="CT155" s="591">
        <f t="shared" si="43"/>
        <v>1080000</v>
      </c>
      <c r="CU155" s="591">
        <f>CS155*1.25*1.25</f>
        <v>551.5625</v>
      </c>
      <c r="CV155" s="591">
        <v>1500</v>
      </c>
      <c r="CW155" s="54"/>
      <c r="CX155" s="54"/>
      <c r="CY155" s="54"/>
      <c r="CZ155" s="54"/>
      <c r="DA155" s="54">
        <v>1.6875</v>
      </c>
      <c r="DB155" s="54">
        <v>6.25</v>
      </c>
      <c r="DC155" s="649">
        <f t="shared" si="58"/>
        <v>2.4408</v>
      </c>
    </row>
    <row r="156" spans="1:107" ht="12.75">
      <c r="A156" s="389" t="s">
        <v>202</v>
      </c>
      <c r="B156" s="69" t="s">
        <v>202</v>
      </c>
      <c r="C156" s="308" t="s">
        <v>827</v>
      </c>
      <c r="D156" s="390">
        <v>35</v>
      </c>
      <c r="E156" s="391" t="s">
        <v>203</v>
      </c>
      <c r="F156" s="15">
        <v>0</v>
      </c>
      <c r="G156" s="18">
        <v>0</v>
      </c>
      <c r="H156" s="17">
        <v>0</v>
      </c>
      <c r="I156" s="16">
        <v>0</v>
      </c>
      <c r="J156" s="187">
        <v>0</v>
      </c>
      <c r="K156" s="188">
        <v>0</v>
      </c>
      <c r="L156" s="868"/>
      <c r="M156" s="884"/>
      <c r="N156" s="131"/>
      <c r="O156" s="454">
        <v>0</v>
      </c>
      <c r="P156" s="531">
        <v>0</v>
      </c>
      <c r="Q156" s="340"/>
      <c r="R156" s="98">
        <v>1200</v>
      </c>
      <c r="S156" s="326">
        <f t="shared" si="66"/>
        <v>1200</v>
      </c>
      <c r="T156" s="342">
        <v>12</v>
      </c>
      <c r="U156" s="343">
        <v>5000</v>
      </c>
      <c r="V156" s="344">
        <v>5000</v>
      </c>
      <c r="W156" s="289"/>
      <c r="X156" s="153">
        <v>3750</v>
      </c>
      <c r="Y156" s="46">
        <v>60</v>
      </c>
      <c r="Z156" s="44">
        <v>20</v>
      </c>
      <c r="AA156" s="44">
        <v>25</v>
      </c>
      <c r="AB156" s="49">
        <v>35</v>
      </c>
      <c r="AC156" s="345">
        <v>2250</v>
      </c>
      <c r="AD156" s="312">
        <v>250</v>
      </c>
      <c r="AE156" s="292">
        <f t="shared" si="61"/>
        <v>9</v>
      </c>
      <c r="AF156" s="43">
        <v>0</v>
      </c>
      <c r="AG156" s="48">
        <v>60</v>
      </c>
      <c r="AH156" s="44">
        <v>40</v>
      </c>
      <c r="AI156" s="45">
        <v>20</v>
      </c>
      <c r="AJ156" s="5">
        <f t="shared" si="50"/>
        <v>6000</v>
      </c>
      <c r="AK156" s="103" t="str">
        <f t="shared" si="60"/>
        <v>A</v>
      </c>
      <c r="AL156" s="862">
        <v>1</v>
      </c>
      <c r="AM156" s="458">
        <v>1000</v>
      </c>
      <c r="AN156" s="295">
        <f t="shared" si="62"/>
        <v>0.001</v>
      </c>
      <c r="AO156" s="145">
        <v>4</v>
      </c>
      <c r="AP156" s="85" t="s">
        <v>990</v>
      </c>
      <c r="AQ156" s="297">
        <v>300</v>
      </c>
      <c r="AR156" s="33">
        <v>18</v>
      </c>
      <c r="AS156" s="34">
        <v>1</v>
      </c>
      <c r="AT156" s="34">
        <v>1</v>
      </c>
      <c r="AU156" s="73">
        <v>1</v>
      </c>
      <c r="AV156" s="39">
        <v>125</v>
      </c>
      <c r="AW156" s="143">
        <v>250</v>
      </c>
      <c r="AX156" s="33">
        <v>0</v>
      </c>
      <c r="AY156" s="34">
        <v>0</v>
      </c>
      <c r="AZ156" s="34">
        <v>0</v>
      </c>
      <c r="BA156" s="84">
        <v>0</v>
      </c>
      <c r="BB156" s="586"/>
      <c r="BC156" s="590"/>
      <c r="BD156" s="588" t="e">
        <f t="shared" si="51"/>
        <v>#DIV/0!</v>
      </c>
      <c r="BE156" s="299"/>
      <c r="BF156" s="300"/>
      <c r="BG156" s="112"/>
      <c r="BH156" s="541"/>
      <c r="BI156" s="301"/>
      <c r="BJ156" s="696" t="s">
        <v>1476</v>
      </c>
      <c r="BK156" s="36" t="s">
        <v>204</v>
      </c>
      <c r="BL156" s="303" t="s">
        <v>1299</v>
      </c>
      <c r="BM156" s="86" t="s">
        <v>886</v>
      </c>
      <c r="BN156" s="303" t="s">
        <v>1299</v>
      </c>
      <c r="BO156" s="86"/>
      <c r="BP156" s="1" t="s">
        <v>887</v>
      </c>
      <c r="BR156" s="1">
        <v>70</v>
      </c>
      <c r="BS156" s="21">
        <v>23055</v>
      </c>
      <c r="BT156" s="605"/>
      <c r="BU156" s="600" t="s">
        <v>1299</v>
      </c>
      <c r="BV156" s="601" t="s">
        <v>1299</v>
      </c>
      <c r="BW156" s="386">
        <f t="shared" si="65"/>
        <v>1200</v>
      </c>
      <c r="BX156" s="329">
        <f>IF($F156&gt;0,$BW156*$D$208,"")</f>
      </c>
      <c r="BY156" s="329">
        <f>IF($F156&gt;1,$BX156*$D$209,"")</f>
      </c>
      <c r="BZ156" s="329">
        <f>IF($F156&gt;2,$BY156*$D$210,"")</f>
      </c>
      <c r="CA156" s="329">
        <f>IF($F156&gt;3,$BZ156*$D$211,"")</f>
      </c>
      <c r="CB156" s="329">
        <f>IF($F156&gt;4,$CA156*$D$212,"")</f>
      </c>
      <c r="CC156" s="329">
        <f>IF($F156&gt;5,$CB156*$D$213,"")</f>
      </c>
      <c r="CD156" s="329">
        <f>IF($F156&gt;6,$CC156*$D$214,"")</f>
      </c>
      <c r="CE156" s="485" t="s">
        <v>132</v>
      </c>
      <c r="CF156" s="849" t="s">
        <v>515</v>
      </c>
      <c r="CG156" s="440" t="s">
        <v>535</v>
      </c>
      <c r="CH156" s="392">
        <v>0</v>
      </c>
      <c r="CI156" s="392">
        <f t="shared" si="63"/>
        <v>0</v>
      </c>
      <c r="CJ156" s="393">
        <f t="shared" si="64"/>
        <v>0</v>
      </c>
      <c r="CK156" s="307" t="e">
        <f>CJ156-#REF!</f>
        <v>#REF!</v>
      </c>
      <c r="CL156" s="54">
        <v>0</v>
      </c>
      <c r="CM156" s="21" t="e">
        <f t="shared" si="52"/>
        <v>#DIV/0!</v>
      </c>
      <c r="CN156" s="21" t="e">
        <f t="shared" si="53"/>
        <v>#DIV/0!</v>
      </c>
      <c r="CO156" s="54"/>
      <c r="CP156" s="625">
        <f t="shared" si="54"/>
        <v>140</v>
      </c>
      <c r="CQ156" s="626">
        <f t="shared" si="55"/>
        <v>120</v>
      </c>
      <c r="CR156" s="624" t="str">
        <f t="shared" si="56"/>
        <v>A</v>
      </c>
      <c r="CS156" s="634">
        <f t="shared" si="57"/>
        <v>250</v>
      </c>
      <c r="CT156" s="591">
        <f aca="true" t="shared" si="67" ref="CT156:CT204">T156*1000</f>
        <v>12000</v>
      </c>
      <c r="CU156" s="591">
        <f t="shared" si="48"/>
        <v>312.5</v>
      </c>
      <c r="CV156" s="591">
        <v>0</v>
      </c>
      <c r="CW156" s="54"/>
      <c r="CX156" s="54"/>
      <c r="CY156" s="54"/>
      <c r="CZ156" s="54"/>
      <c r="DA156" s="54">
        <v>0</v>
      </c>
      <c r="DB156" s="54">
        <v>0</v>
      </c>
      <c r="DC156" s="649">
        <f t="shared" si="58"/>
        <v>0</v>
      </c>
    </row>
    <row r="157" spans="1:107" ht="12.75">
      <c r="A157" s="389" t="s">
        <v>889</v>
      </c>
      <c r="B157" s="69" t="s">
        <v>889</v>
      </c>
      <c r="C157" s="636" t="s">
        <v>865</v>
      </c>
      <c r="D157" s="390">
        <v>35</v>
      </c>
      <c r="E157" s="391" t="s">
        <v>203</v>
      </c>
      <c r="F157" s="15">
        <v>0</v>
      </c>
      <c r="G157" s="18">
        <v>0</v>
      </c>
      <c r="H157" s="17">
        <v>0</v>
      </c>
      <c r="I157" s="16">
        <v>0</v>
      </c>
      <c r="J157" s="187">
        <v>0</v>
      </c>
      <c r="K157" s="188">
        <v>0</v>
      </c>
      <c r="L157" s="868"/>
      <c r="M157" s="884"/>
      <c r="N157" s="131"/>
      <c r="O157" s="454">
        <v>0</v>
      </c>
      <c r="P157" s="531">
        <v>0</v>
      </c>
      <c r="Q157" s="340"/>
      <c r="R157" s="98">
        <v>1200</v>
      </c>
      <c r="S157" s="326">
        <f t="shared" si="66"/>
        <v>1200</v>
      </c>
      <c r="T157" s="342">
        <v>12</v>
      </c>
      <c r="U157" s="343">
        <v>5000</v>
      </c>
      <c r="V157" s="344">
        <v>5000</v>
      </c>
      <c r="W157" s="289"/>
      <c r="X157" s="153">
        <v>2750</v>
      </c>
      <c r="Y157" s="46">
        <v>60</v>
      </c>
      <c r="Z157" s="44">
        <v>10</v>
      </c>
      <c r="AA157" s="44">
        <v>25</v>
      </c>
      <c r="AB157" s="49">
        <v>45</v>
      </c>
      <c r="AC157" s="345">
        <v>3000</v>
      </c>
      <c r="AD157" s="312">
        <v>250</v>
      </c>
      <c r="AE157" s="394">
        <f t="shared" si="61"/>
        <v>12</v>
      </c>
      <c r="AF157" s="43">
        <v>0</v>
      </c>
      <c r="AG157" s="48">
        <v>60</v>
      </c>
      <c r="AH157" s="44">
        <v>40</v>
      </c>
      <c r="AI157" s="45">
        <v>20</v>
      </c>
      <c r="AJ157" s="5">
        <f t="shared" si="50"/>
        <v>5750</v>
      </c>
      <c r="AK157" s="103" t="str">
        <f t="shared" si="60"/>
        <v>~</v>
      </c>
      <c r="AL157" s="862">
        <v>1</v>
      </c>
      <c r="AM157" s="458">
        <v>1000</v>
      </c>
      <c r="AN157" s="295">
        <f t="shared" si="62"/>
        <v>0.001</v>
      </c>
      <c r="AO157" s="145">
        <v>4</v>
      </c>
      <c r="AP157" s="85" t="s">
        <v>990</v>
      </c>
      <c r="AQ157" s="297">
        <v>200</v>
      </c>
      <c r="AR157" s="33">
        <v>1</v>
      </c>
      <c r="AS157" s="34">
        <v>24</v>
      </c>
      <c r="AT157" s="34">
        <v>1</v>
      </c>
      <c r="AU157" s="73">
        <v>1</v>
      </c>
      <c r="AV157" s="39">
        <v>125</v>
      </c>
      <c r="AW157" s="143">
        <v>225</v>
      </c>
      <c r="AX157" s="33">
        <v>0</v>
      </c>
      <c r="AY157" s="34">
        <v>0</v>
      </c>
      <c r="AZ157" s="34">
        <v>0</v>
      </c>
      <c r="BA157" s="84">
        <v>0</v>
      </c>
      <c r="BB157" s="586"/>
      <c r="BC157" s="590"/>
      <c r="BD157" s="588" t="e">
        <f t="shared" si="51"/>
        <v>#DIV/0!</v>
      </c>
      <c r="BE157" s="299"/>
      <c r="BF157" s="300"/>
      <c r="BG157" s="112"/>
      <c r="BH157" s="541"/>
      <c r="BI157" s="301"/>
      <c r="BJ157" s="696" t="s">
        <v>1476</v>
      </c>
      <c r="BK157" s="36" t="s">
        <v>204</v>
      </c>
      <c r="BL157" s="303" t="s">
        <v>1299</v>
      </c>
      <c r="BM157" s="86" t="s">
        <v>890</v>
      </c>
      <c r="BN157" s="303" t="s">
        <v>1299</v>
      </c>
      <c r="BO157" s="86"/>
      <c r="BP157" s="1" t="s">
        <v>222</v>
      </c>
      <c r="BR157" s="1">
        <v>70</v>
      </c>
      <c r="BS157" s="21">
        <v>23057</v>
      </c>
      <c r="BT157" s="605"/>
      <c r="BU157" s="600" t="s">
        <v>1299</v>
      </c>
      <c r="BV157" s="601" t="s">
        <v>1299</v>
      </c>
      <c r="BW157" s="386">
        <f t="shared" si="65"/>
        <v>1200</v>
      </c>
      <c r="BX157" s="329">
        <f>IF($F157&gt;0,$BW157*$D$208,"")</f>
      </c>
      <c r="BY157" s="329">
        <f>IF($F157&gt;1,$BX157*$D$209,"")</f>
      </c>
      <c r="BZ157" s="329">
        <f>IF($F157&gt;2,$BY157*$D$210,"")</f>
      </c>
      <c r="CA157" s="329">
        <f>IF($F157&gt;3,$BZ157*$D$211,"")</f>
      </c>
      <c r="CB157" s="329">
        <f>IF($F157&gt;4,$CA157*$D$212,"")</f>
      </c>
      <c r="CC157" s="329">
        <f>IF($F157&gt;5,$CB157*$D$213,"")</f>
      </c>
      <c r="CD157" s="329">
        <f>IF($F157&gt;6,$CC157*$D$214,"")</f>
      </c>
      <c r="CE157" s="485" t="s">
        <v>1284</v>
      </c>
      <c r="CF157" s="849" t="s">
        <v>515</v>
      </c>
      <c r="CG157" s="440" t="s">
        <v>472</v>
      </c>
      <c r="CH157" s="392">
        <v>0</v>
      </c>
      <c r="CI157" s="392">
        <f t="shared" si="63"/>
        <v>0</v>
      </c>
      <c r="CJ157" s="393">
        <f t="shared" si="64"/>
        <v>0</v>
      </c>
      <c r="CK157" s="307" t="e">
        <f>CJ157-#REF!</f>
        <v>#REF!</v>
      </c>
      <c r="CL157" s="54">
        <v>0</v>
      </c>
      <c r="CM157" s="21" t="e">
        <f t="shared" si="52"/>
        <v>#DIV/0!</v>
      </c>
      <c r="CN157" s="21" t="e">
        <f t="shared" si="53"/>
        <v>#DIV/0!</v>
      </c>
      <c r="CO157" s="54"/>
      <c r="CP157" s="625">
        <f t="shared" si="54"/>
        <v>140</v>
      </c>
      <c r="CQ157" s="623">
        <f t="shared" si="55"/>
        <v>120</v>
      </c>
      <c r="CR157" s="624" t="str">
        <f t="shared" si="56"/>
        <v>~</v>
      </c>
      <c r="CS157" s="634">
        <f t="shared" si="57"/>
        <v>225</v>
      </c>
      <c r="CT157" s="591">
        <f t="shared" si="67"/>
        <v>12000</v>
      </c>
      <c r="CU157" s="591">
        <f t="shared" si="48"/>
        <v>281.25</v>
      </c>
      <c r="CV157" s="591">
        <v>0</v>
      </c>
      <c r="CW157" s="54"/>
      <c r="CX157" s="54"/>
      <c r="CY157" s="54"/>
      <c r="CZ157" s="54"/>
      <c r="DA157" s="54">
        <v>0</v>
      </c>
      <c r="DB157" s="54">
        <v>0</v>
      </c>
      <c r="DC157" s="649">
        <f t="shared" si="58"/>
        <v>0</v>
      </c>
    </row>
    <row r="158" spans="1:107" ht="12.75">
      <c r="A158" s="389" t="s">
        <v>892</v>
      </c>
      <c r="B158" s="69" t="s">
        <v>892</v>
      </c>
      <c r="C158" s="315" t="s">
        <v>1042</v>
      </c>
      <c r="D158" s="390">
        <v>35</v>
      </c>
      <c r="E158" s="391" t="s">
        <v>203</v>
      </c>
      <c r="F158" s="15">
        <v>0</v>
      </c>
      <c r="G158" s="18">
        <v>0</v>
      </c>
      <c r="H158" s="17">
        <v>0</v>
      </c>
      <c r="I158" s="16">
        <v>0</v>
      </c>
      <c r="J158" s="187">
        <v>0</v>
      </c>
      <c r="K158" s="188">
        <v>0</v>
      </c>
      <c r="L158" s="868"/>
      <c r="M158" s="884"/>
      <c r="N158" s="131"/>
      <c r="O158" s="454">
        <v>0</v>
      </c>
      <c r="P158" s="531">
        <v>0</v>
      </c>
      <c r="Q158" s="340"/>
      <c r="R158" s="98">
        <v>1200</v>
      </c>
      <c r="S158" s="326">
        <f t="shared" si="66"/>
        <v>1200</v>
      </c>
      <c r="T158" s="342">
        <v>12</v>
      </c>
      <c r="U158" s="343">
        <v>5000</v>
      </c>
      <c r="V158" s="344">
        <v>5000</v>
      </c>
      <c r="W158" s="289"/>
      <c r="X158" s="153">
        <v>3000</v>
      </c>
      <c r="Y158" s="46">
        <v>60</v>
      </c>
      <c r="Z158" s="44">
        <v>10</v>
      </c>
      <c r="AA158" s="44">
        <v>35</v>
      </c>
      <c r="AB158" s="49">
        <v>35</v>
      </c>
      <c r="AC158" s="345">
        <v>2500</v>
      </c>
      <c r="AD158" s="312">
        <v>250</v>
      </c>
      <c r="AE158" s="394">
        <f t="shared" si="61"/>
        <v>10</v>
      </c>
      <c r="AF158" s="43">
        <v>0</v>
      </c>
      <c r="AG158" s="48">
        <v>60</v>
      </c>
      <c r="AH158" s="44">
        <v>40</v>
      </c>
      <c r="AI158" s="45">
        <v>20</v>
      </c>
      <c r="AJ158" s="5">
        <f t="shared" si="50"/>
        <v>5500</v>
      </c>
      <c r="AK158" s="103" t="str">
        <f t="shared" si="60"/>
        <v>A</v>
      </c>
      <c r="AL158" s="862">
        <v>1</v>
      </c>
      <c r="AM158" s="458">
        <v>1000</v>
      </c>
      <c r="AN158" s="295">
        <f t="shared" si="62"/>
        <v>0.001</v>
      </c>
      <c r="AO158" s="145">
        <v>4</v>
      </c>
      <c r="AP158" s="85" t="s">
        <v>990</v>
      </c>
      <c r="AQ158" s="297">
        <v>250</v>
      </c>
      <c r="AR158" s="33">
        <v>1</v>
      </c>
      <c r="AS158" s="34">
        <v>1</v>
      </c>
      <c r="AT158" s="34">
        <v>22</v>
      </c>
      <c r="AU158" s="73">
        <v>1</v>
      </c>
      <c r="AV158" s="39">
        <v>125</v>
      </c>
      <c r="AW158" s="143">
        <v>280</v>
      </c>
      <c r="AX158" s="33">
        <v>0</v>
      </c>
      <c r="AY158" s="34">
        <v>0</v>
      </c>
      <c r="AZ158" s="34">
        <v>0</v>
      </c>
      <c r="BA158" s="84">
        <v>0</v>
      </c>
      <c r="BB158" s="586"/>
      <c r="BC158" s="590"/>
      <c r="BD158" s="588" t="e">
        <f t="shared" si="51"/>
        <v>#DIV/0!</v>
      </c>
      <c r="BE158" s="299"/>
      <c r="BF158" s="300"/>
      <c r="BG158" s="112"/>
      <c r="BH158" s="541"/>
      <c r="BI158" s="301"/>
      <c r="BJ158" s="696" t="s">
        <v>1476</v>
      </c>
      <c r="BK158" s="36" t="s">
        <v>204</v>
      </c>
      <c r="BL158" s="303" t="s">
        <v>1299</v>
      </c>
      <c r="BM158" s="86" t="s">
        <v>893</v>
      </c>
      <c r="BN158" s="303" t="s">
        <v>1299</v>
      </c>
      <c r="BO158" s="86"/>
      <c r="BP158" s="1" t="s">
        <v>227</v>
      </c>
      <c r="BR158" s="1">
        <v>70</v>
      </c>
      <c r="BS158" s="21">
        <v>23059</v>
      </c>
      <c r="BT158" s="605"/>
      <c r="BU158" s="600" t="s">
        <v>1299</v>
      </c>
      <c r="BV158" s="601" t="s">
        <v>1299</v>
      </c>
      <c r="BW158" s="386">
        <f t="shared" si="65"/>
        <v>1200</v>
      </c>
      <c r="BX158" s="329">
        <f>IF($F158&gt;0,$BW158*$D$208,"")</f>
      </c>
      <c r="BY158" s="329">
        <f>IF($F158&gt;1,$BX158*$D$209,"")</f>
      </c>
      <c r="BZ158" s="329">
        <f>IF($F158&gt;2,$BY158*$D$210,"")</f>
      </c>
      <c r="CA158" s="329">
        <f>IF($F158&gt;3,$BZ158*$D$211,"")</f>
      </c>
      <c r="CB158" s="329">
        <f>IF($F158&gt;4,$CA158*$D$212,"")</f>
      </c>
      <c r="CC158" s="329">
        <f>IF($F158&gt;5,$CB158*$D$213,"")</f>
      </c>
      <c r="CD158" s="329">
        <f>IF($F158&gt;6,$CC158*$D$214,"")</f>
      </c>
      <c r="CE158" s="485" t="s">
        <v>820</v>
      </c>
      <c r="CF158" s="849" t="s">
        <v>515</v>
      </c>
      <c r="CG158" s="440" t="s">
        <v>75</v>
      </c>
      <c r="CH158" s="392">
        <v>0</v>
      </c>
      <c r="CI158" s="392">
        <f t="shared" si="63"/>
        <v>0</v>
      </c>
      <c r="CJ158" s="393">
        <f t="shared" si="64"/>
        <v>0</v>
      </c>
      <c r="CK158" s="307" t="e">
        <f>CJ158-#REF!</f>
        <v>#REF!</v>
      </c>
      <c r="CL158" s="54">
        <v>0</v>
      </c>
      <c r="CM158" s="21" t="e">
        <f t="shared" si="52"/>
        <v>#DIV/0!</v>
      </c>
      <c r="CN158" s="21" t="e">
        <f t="shared" si="53"/>
        <v>#DIV/0!</v>
      </c>
      <c r="CO158" s="54"/>
      <c r="CP158" s="625">
        <f t="shared" si="54"/>
        <v>140</v>
      </c>
      <c r="CQ158" s="626">
        <f t="shared" si="55"/>
        <v>120</v>
      </c>
      <c r="CR158" s="624" t="str">
        <f t="shared" si="56"/>
        <v>A</v>
      </c>
      <c r="CS158" s="634">
        <f t="shared" si="57"/>
        <v>280</v>
      </c>
      <c r="CT158" s="591">
        <f t="shared" si="67"/>
        <v>12000</v>
      </c>
      <c r="CU158" s="591">
        <f t="shared" si="48"/>
        <v>350</v>
      </c>
      <c r="CV158" s="591">
        <v>0</v>
      </c>
      <c r="CW158" s="54"/>
      <c r="CX158" s="54"/>
      <c r="CY158" s="54"/>
      <c r="CZ158" s="54"/>
      <c r="DA158" s="54">
        <v>0</v>
      </c>
      <c r="DB158" s="54">
        <v>0</v>
      </c>
      <c r="DC158" s="649">
        <f t="shared" si="58"/>
        <v>0</v>
      </c>
    </row>
    <row r="159" spans="1:107" ht="12.75">
      <c r="A159" s="389" t="s">
        <v>895</v>
      </c>
      <c r="B159" s="69" t="s">
        <v>895</v>
      </c>
      <c r="C159" s="319" t="s">
        <v>99</v>
      </c>
      <c r="D159" s="390">
        <v>35</v>
      </c>
      <c r="E159" s="391" t="s">
        <v>203</v>
      </c>
      <c r="F159" s="15">
        <v>0</v>
      </c>
      <c r="G159" s="18">
        <v>0</v>
      </c>
      <c r="H159" s="17">
        <v>0</v>
      </c>
      <c r="I159" s="16">
        <v>0</v>
      </c>
      <c r="J159" s="187">
        <v>0</v>
      </c>
      <c r="K159" s="188">
        <v>0</v>
      </c>
      <c r="L159" s="868"/>
      <c r="M159" s="884"/>
      <c r="N159" s="131"/>
      <c r="O159" s="454">
        <v>0</v>
      </c>
      <c r="P159" s="531">
        <v>0</v>
      </c>
      <c r="Q159" s="340"/>
      <c r="R159" s="98">
        <v>1200</v>
      </c>
      <c r="S159" s="326">
        <f t="shared" si="66"/>
        <v>1200</v>
      </c>
      <c r="T159" s="342">
        <v>12</v>
      </c>
      <c r="U159" s="343">
        <v>5000</v>
      </c>
      <c r="V159" s="344">
        <v>5000</v>
      </c>
      <c r="W159" s="289"/>
      <c r="X159" s="153">
        <v>3250</v>
      </c>
      <c r="Y159" s="46">
        <v>70</v>
      </c>
      <c r="Z159" s="44">
        <v>10</v>
      </c>
      <c r="AA159" s="44">
        <v>25</v>
      </c>
      <c r="AB159" s="49">
        <v>35</v>
      </c>
      <c r="AC159" s="345">
        <v>2750</v>
      </c>
      <c r="AD159" s="312">
        <v>250</v>
      </c>
      <c r="AE159" s="394">
        <f t="shared" si="61"/>
        <v>11</v>
      </c>
      <c r="AF159" s="43">
        <v>0</v>
      </c>
      <c r="AG159" s="48">
        <v>60</v>
      </c>
      <c r="AH159" s="44">
        <v>40</v>
      </c>
      <c r="AI159" s="45">
        <v>20</v>
      </c>
      <c r="AJ159" s="5">
        <f t="shared" si="50"/>
        <v>6000</v>
      </c>
      <c r="AK159" s="103" t="str">
        <f t="shared" si="60"/>
        <v>A</v>
      </c>
      <c r="AL159" s="862">
        <v>1</v>
      </c>
      <c r="AM159" s="458">
        <v>1000</v>
      </c>
      <c r="AN159" s="295">
        <f t="shared" si="62"/>
        <v>0.001</v>
      </c>
      <c r="AO159" s="145">
        <v>4</v>
      </c>
      <c r="AP159" s="85" t="s">
        <v>990</v>
      </c>
      <c r="AQ159" s="297">
        <v>350</v>
      </c>
      <c r="AR159" s="33">
        <v>1</v>
      </c>
      <c r="AS159" s="34">
        <v>1</v>
      </c>
      <c r="AT159" s="34">
        <v>1</v>
      </c>
      <c r="AU159" s="73">
        <v>16</v>
      </c>
      <c r="AV159" s="39">
        <v>125</v>
      </c>
      <c r="AW159" s="143">
        <v>300</v>
      </c>
      <c r="AX159" s="33">
        <v>0</v>
      </c>
      <c r="AY159" s="34">
        <v>0</v>
      </c>
      <c r="AZ159" s="34">
        <v>0</v>
      </c>
      <c r="BA159" s="84">
        <v>0</v>
      </c>
      <c r="BB159" s="586"/>
      <c r="BC159" s="590"/>
      <c r="BD159" s="588" t="e">
        <f t="shared" si="51"/>
        <v>#DIV/0!</v>
      </c>
      <c r="BE159" s="299"/>
      <c r="BF159" s="300"/>
      <c r="BG159" s="112"/>
      <c r="BH159" s="541"/>
      <c r="BI159" s="301"/>
      <c r="BJ159" s="696" t="s">
        <v>1476</v>
      </c>
      <c r="BK159" s="36" t="s">
        <v>204</v>
      </c>
      <c r="BL159" s="303" t="s">
        <v>1299</v>
      </c>
      <c r="BM159" s="86" t="s">
        <v>814</v>
      </c>
      <c r="BN159" s="303" t="s">
        <v>1299</v>
      </c>
      <c r="BO159" s="86"/>
      <c r="BP159" s="1" t="s">
        <v>228</v>
      </c>
      <c r="BR159" s="1">
        <v>70</v>
      </c>
      <c r="BS159" s="21">
        <v>23061</v>
      </c>
      <c r="BT159" s="605"/>
      <c r="BU159" s="600" t="s">
        <v>1299</v>
      </c>
      <c r="BV159" s="601" t="s">
        <v>1299</v>
      </c>
      <c r="BW159" s="386">
        <f t="shared" si="65"/>
        <v>1200</v>
      </c>
      <c r="BX159" s="329">
        <f>IF($F159&gt;0,$BW159*$D$208,"")</f>
      </c>
      <c r="BY159" s="329">
        <f>IF($F159&gt;1,$BX159*$D$209,"")</f>
      </c>
      <c r="BZ159" s="329">
        <f>IF($F159&gt;2,$BY159*$D$210,"")</f>
      </c>
      <c r="CA159" s="329">
        <f>IF($F159&gt;3,$BZ159*$D$211,"")</f>
      </c>
      <c r="CB159" s="329">
        <f>IF($F159&gt;4,$CA159*$D$212,"")</f>
      </c>
      <c r="CC159" s="329">
        <f>IF($F159&gt;5,$CB159*$D$213,"")</f>
      </c>
      <c r="CD159" s="329">
        <f>IF($F159&gt;6,$CC159*$D$214,"")</f>
      </c>
      <c r="CE159" s="485" t="s">
        <v>812</v>
      </c>
      <c r="CF159" s="849" t="s">
        <v>515</v>
      </c>
      <c r="CG159" s="440" t="s">
        <v>1387</v>
      </c>
      <c r="CH159" s="392">
        <v>0</v>
      </c>
      <c r="CI159" s="392">
        <f t="shared" si="63"/>
        <v>0</v>
      </c>
      <c r="CJ159" s="393">
        <f t="shared" si="64"/>
        <v>0</v>
      </c>
      <c r="CK159" s="307" t="e">
        <f>CJ159-#REF!</f>
        <v>#REF!</v>
      </c>
      <c r="CL159" s="54">
        <v>0</v>
      </c>
      <c r="CM159" s="21" t="e">
        <f t="shared" si="52"/>
        <v>#DIV/0!</v>
      </c>
      <c r="CN159" s="21" t="e">
        <f t="shared" si="53"/>
        <v>#DIV/0!</v>
      </c>
      <c r="CO159" s="54"/>
      <c r="CP159" s="625">
        <f t="shared" si="54"/>
        <v>140</v>
      </c>
      <c r="CQ159" s="626">
        <f t="shared" si="55"/>
        <v>120</v>
      </c>
      <c r="CR159" s="624" t="str">
        <f t="shared" si="56"/>
        <v>A</v>
      </c>
      <c r="CS159" s="634">
        <f t="shared" si="57"/>
        <v>300</v>
      </c>
      <c r="CT159" s="591">
        <f t="shared" si="67"/>
        <v>12000</v>
      </c>
      <c r="CU159" s="591">
        <f t="shared" si="48"/>
        <v>375</v>
      </c>
      <c r="CV159" s="591">
        <v>0</v>
      </c>
      <c r="CW159" s="54"/>
      <c r="CX159" s="54"/>
      <c r="CY159" s="54"/>
      <c r="CZ159" s="54"/>
      <c r="DA159" s="54">
        <v>0</v>
      </c>
      <c r="DB159" s="54">
        <v>0</v>
      </c>
      <c r="DC159" s="649">
        <f t="shared" si="58"/>
        <v>0</v>
      </c>
    </row>
    <row r="160" spans="1:107" ht="12.75">
      <c r="A160" s="24" t="s">
        <v>1341</v>
      </c>
      <c r="B160" s="69" t="s">
        <v>1341</v>
      </c>
      <c r="C160" s="308" t="s">
        <v>827</v>
      </c>
      <c r="D160" s="395">
        <v>30</v>
      </c>
      <c r="E160" s="396" t="s">
        <v>1342</v>
      </c>
      <c r="F160" s="15">
        <v>1</v>
      </c>
      <c r="G160" s="18">
        <v>1</v>
      </c>
      <c r="H160" s="17">
        <v>2</v>
      </c>
      <c r="I160" s="16">
        <v>0</v>
      </c>
      <c r="J160" s="737">
        <v>2</v>
      </c>
      <c r="K160" s="397">
        <v>0</v>
      </c>
      <c r="L160" s="868">
        <v>80</v>
      </c>
      <c r="M160" s="884">
        <v>11</v>
      </c>
      <c r="N160" s="398">
        <v>0</v>
      </c>
      <c r="O160" s="454">
        <v>5</v>
      </c>
      <c r="P160" s="531">
        <v>5</v>
      </c>
      <c r="Q160" s="340">
        <v>156</v>
      </c>
      <c r="R160" s="98">
        <v>120</v>
      </c>
      <c r="S160" s="326">
        <f t="shared" si="66"/>
        <v>153</v>
      </c>
      <c r="T160" s="342">
        <v>1650</v>
      </c>
      <c r="U160" s="343">
        <v>28100</v>
      </c>
      <c r="V160" s="344">
        <v>2500</v>
      </c>
      <c r="W160" s="289">
        <v>3.1</v>
      </c>
      <c r="X160" s="340">
        <v>188</v>
      </c>
      <c r="Y160" s="43">
        <v>50</v>
      </c>
      <c r="Z160" s="44">
        <v>20</v>
      </c>
      <c r="AA160" s="44">
        <v>25</v>
      </c>
      <c r="AB160" s="49">
        <v>35</v>
      </c>
      <c r="AC160" s="345">
        <v>79</v>
      </c>
      <c r="AD160" s="312">
        <v>625</v>
      </c>
      <c r="AE160" s="292">
        <f t="shared" si="61"/>
        <v>0.1264</v>
      </c>
      <c r="AF160" s="43">
        <v>0</v>
      </c>
      <c r="AG160" s="44">
        <v>50</v>
      </c>
      <c r="AH160" s="44">
        <v>40</v>
      </c>
      <c r="AI160" s="45">
        <v>20</v>
      </c>
      <c r="AJ160" s="5">
        <f t="shared" si="50"/>
        <v>423</v>
      </c>
      <c r="AK160" s="103" t="str">
        <f t="shared" si="60"/>
        <v>A</v>
      </c>
      <c r="AL160" s="862">
        <v>125</v>
      </c>
      <c r="AM160" s="458">
        <v>93.75</v>
      </c>
      <c r="AN160" s="295">
        <f t="shared" si="62"/>
        <v>1.3333333333333333</v>
      </c>
      <c r="AO160" s="145">
        <v>20</v>
      </c>
      <c r="AP160" s="85" t="s">
        <v>467</v>
      </c>
      <c r="AQ160" s="297">
        <v>475</v>
      </c>
      <c r="AR160" s="33">
        <v>4</v>
      </c>
      <c r="AS160" s="34">
        <v>0</v>
      </c>
      <c r="AT160" s="34">
        <v>0</v>
      </c>
      <c r="AU160" s="73">
        <v>0</v>
      </c>
      <c r="AV160" s="39">
        <v>45</v>
      </c>
      <c r="AW160" s="143">
        <v>260</v>
      </c>
      <c r="AX160" s="33">
        <v>4</v>
      </c>
      <c r="AY160" s="34">
        <v>0</v>
      </c>
      <c r="AZ160" s="34">
        <v>0</v>
      </c>
      <c r="BA160" s="84">
        <v>0</v>
      </c>
      <c r="BB160" s="586">
        <v>3</v>
      </c>
      <c r="BC160" s="590">
        <v>8.65801E-07</v>
      </c>
      <c r="BD160" s="588">
        <f t="shared" si="51"/>
        <v>54.68749152343882</v>
      </c>
      <c r="BE160" s="299"/>
      <c r="BF160" s="300"/>
      <c r="BG160" s="112"/>
      <c r="BH160" s="541"/>
      <c r="BI160" s="301"/>
      <c r="BJ160" s="696" t="s">
        <v>1476</v>
      </c>
      <c r="BK160" s="13"/>
      <c r="BL160" s="303" t="s">
        <v>1343</v>
      </c>
      <c r="BM160" s="86" t="s">
        <v>800</v>
      </c>
      <c r="BN160" s="303" t="s">
        <v>104</v>
      </c>
      <c r="BO160" s="86"/>
      <c r="BP160" s="1" t="s">
        <v>801</v>
      </c>
      <c r="BR160" s="1">
        <v>78</v>
      </c>
      <c r="BS160" s="21">
        <v>596</v>
      </c>
      <c r="BT160" s="605"/>
      <c r="BU160" s="600">
        <v>2</v>
      </c>
      <c r="BV160" s="601">
        <v>0.2</v>
      </c>
      <c r="BW160" s="386">
        <f t="shared" si="65"/>
        <v>120</v>
      </c>
      <c r="BX160" s="329">
        <f>IF($F160&gt;0,$BW160*$D$208,"")</f>
        <v>153</v>
      </c>
      <c r="BY160" s="329">
        <f>IF($F160&gt;1,$BX160*$D$209,"")</f>
      </c>
      <c r="BZ160" s="329">
        <f>IF($F160&gt;2,$BY160*$D$210,"")</f>
      </c>
      <c r="CA160" s="329">
        <f>IF($F160&gt;3,$BZ160*$D$211,"")</f>
      </c>
      <c r="CB160" s="329">
        <f>IF($F160&gt;4,$CA160*$D$212,"")</f>
      </c>
      <c r="CC160" s="329">
        <f>IF($F160&gt;5,$CB160*$D$213,"")</f>
      </c>
      <c r="CD160" s="329">
        <f>IF($F160&gt;6,$CC160*$D$214,"")</f>
      </c>
      <c r="CE160" s="485" t="s">
        <v>1447</v>
      </c>
      <c r="CF160" s="853" t="s">
        <v>919</v>
      </c>
      <c r="CG160" s="440">
        <v>0</v>
      </c>
      <c r="CH160" s="392">
        <v>0</v>
      </c>
      <c r="CI160" s="392">
        <f t="shared" si="63"/>
        <v>0</v>
      </c>
      <c r="CJ160" s="393">
        <f t="shared" si="64"/>
        <v>0</v>
      </c>
      <c r="CK160" s="307" t="e">
        <f>CJ160-#REF!</f>
        <v>#REF!</v>
      </c>
      <c r="CL160" s="54">
        <v>0</v>
      </c>
      <c r="CM160" s="21" t="e">
        <f t="shared" si="52"/>
        <v>#DIV/0!</v>
      </c>
      <c r="CN160" s="21" t="e">
        <f t="shared" si="53"/>
        <v>#DIV/0!</v>
      </c>
      <c r="CO160" s="54"/>
      <c r="CP160" s="625">
        <f t="shared" si="54"/>
        <v>130</v>
      </c>
      <c r="CQ160" s="626">
        <f t="shared" si="55"/>
        <v>110</v>
      </c>
      <c r="CR160" s="624" t="str">
        <f t="shared" si="56"/>
        <v>A</v>
      </c>
      <c r="CS160" s="634">
        <f t="shared" si="57"/>
        <v>260</v>
      </c>
      <c r="CT160" s="591">
        <f t="shared" si="67"/>
        <v>1650000</v>
      </c>
      <c r="CU160" s="591">
        <f t="shared" si="48"/>
        <v>325</v>
      </c>
      <c r="CV160" s="591">
        <v>1500</v>
      </c>
      <c r="CW160" s="54"/>
      <c r="CX160" s="54"/>
      <c r="CY160" s="54"/>
      <c r="CZ160" s="54"/>
      <c r="DA160" s="54">
        <v>1.6875</v>
      </c>
      <c r="DB160" s="54">
        <v>6.25</v>
      </c>
      <c r="DC160" s="649">
        <f t="shared" si="58"/>
        <v>5.115</v>
      </c>
    </row>
    <row r="161" spans="1:107" ht="12.75">
      <c r="A161" s="24" t="s">
        <v>803</v>
      </c>
      <c r="B161" s="69" t="s">
        <v>803</v>
      </c>
      <c r="C161" s="636" t="s">
        <v>865</v>
      </c>
      <c r="D161" s="395">
        <v>30</v>
      </c>
      <c r="E161" s="396" t="s">
        <v>1342</v>
      </c>
      <c r="F161" s="15">
        <v>1</v>
      </c>
      <c r="G161" s="18">
        <v>1</v>
      </c>
      <c r="H161" s="17">
        <v>2</v>
      </c>
      <c r="I161" s="16">
        <v>0</v>
      </c>
      <c r="J161" s="186">
        <v>2</v>
      </c>
      <c r="K161" s="397">
        <v>0</v>
      </c>
      <c r="L161" s="868">
        <v>80</v>
      </c>
      <c r="M161" s="884">
        <v>11</v>
      </c>
      <c r="N161" s="398">
        <v>0</v>
      </c>
      <c r="O161" s="454">
        <v>5</v>
      </c>
      <c r="P161" s="531">
        <v>5</v>
      </c>
      <c r="Q161" s="340">
        <v>118</v>
      </c>
      <c r="R161" s="98">
        <v>120</v>
      </c>
      <c r="S161" s="326">
        <f t="shared" si="66"/>
        <v>153</v>
      </c>
      <c r="T161" s="342">
        <v>1700</v>
      </c>
      <c r="U161" s="343">
        <v>15000</v>
      </c>
      <c r="V161" s="344">
        <v>2500</v>
      </c>
      <c r="W161" s="289">
        <v>3.1</v>
      </c>
      <c r="X161" s="340">
        <v>149</v>
      </c>
      <c r="Y161" s="43">
        <v>50</v>
      </c>
      <c r="Z161" s="44">
        <v>10</v>
      </c>
      <c r="AA161" s="44">
        <v>25</v>
      </c>
      <c r="AB161" s="49">
        <v>45</v>
      </c>
      <c r="AC161" s="345">
        <v>118</v>
      </c>
      <c r="AD161" s="312">
        <v>625</v>
      </c>
      <c r="AE161" s="292">
        <f t="shared" si="61"/>
        <v>0.1888</v>
      </c>
      <c r="AF161" s="43">
        <v>0</v>
      </c>
      <c r="AG161" s="44">
        <v>50</v>
      </c>
      <c r="AH161" s="44">
        <v>40</v>
      </c>
      <c r="AI161" s="45">
        <v>20</v>
      </c>
      <c r="AJ161" s="5">
        <f t="shared" si="50"/>
        <v>385</v>
      </c>
      <c r="AK161" s="103" t="str">
        <f t="shared" si="60"/>
        <v>A</v>
      </c>
      <c r="AL161" s="862">
        <v>125</v>
      </c>
      <c r="AM161" s="458">
        <v>93.75</v>
      </c>
      <c r="AN161" s="295">
        <f t="shared" si="62"/>
        <v>1.3333333333333333</v>
      </c>
      <c r="AO161" s="145">
        <v>30</v>
      </c>
      <c r="AP161" s="85" t="s">
        <v>467</v>
      </c>
      <c r="AQ161" s="297">
        <v>475</v>
      </c>
      <c r="AR161" s="33">
        <v>0</v>
      </c>
      <c r="AS161" s="34">
        <v>4</v>
      </c>
      <c r="AT161" s="34">
        <v>0</v>
      </c>
      <c r="AU161" s="73">
        <v>0</v>
      </c>
      <c r="AV161" s="39">
        <v>45</v>
      </c>
      <c r="AW161" s="143">
        <v>260</v>
      </c>
      <c r="AX161" s="33">
        <v>0</v>
      </c>
      <c r="AY161" s="34">
        <v>3</v>
      </c>
      <c r="AZ161" s="34">
        <v>0</v>
      </c>
      <c r="BA161" s="84">
        <v>0</v>
      </c>
      <c r="BB161" s="586">
        <v>3</v>
      </c>
      <c r="BC161" s="590">
        <v>8.65801E-07</v>
      </c>
      <c r="BD161" s="588">
        <f t="shared" si="51"/>
        <v>53.079035890396504</v>
      </c>
      <c r="BE161" s="299"/>
      <c r="BF161" s="300"/>
      <c r="BG161" s="112"/>
      <c r="BH161" s="541"/>
      <c r="BI161" s="301"/>
      <c r="BJ161" s="696" t="s">
        <v>1476</v>
      </c>
      <c r="BK161" s="13"/>
      <c r="BL161" s="303" t="s">
        <v>804</v>
      </c>
      <c r="BM161" s="86" t="s">
        <v>314</v>
      </c>
      <c r="BN161" s="303" t="s">
        <v>104</v>
      </c>
      <c r="BO161" s="86"/>
      <c r="BP161" s="1" t="s">
        <v>803</v>
      </c>
      <c r="BQ161" t="s">
        <v>315</v>
      </c>
      <c r="BR161" s="1">
        <v>94</v>
      </c>
      <c r="BS161" s="21">
        <v>601</v>
      </c>
      <c r="BT161" s="605"/>
      <c r="BU161" s="600">
        <v>2</v>
      </c>
      <c r="BV161" s="601">
        <v>0.2</v>
      </c>
      <c r="BW161" s="386">
        <f t="shared" si="65"/>
        <v>120</v>
      </c>
      <c r="BX161" s="329">
        <f>IF($F161&gt;0,$BW161*$D$208,"")</f>
        <v>153</v>
      </c>
      <c r="BY161" s="329">
        <f>IF($F161&gt;1,$BX161*$D$209,"")</f>
      </c>
      <c r="BZ161" s="329">
        <f>IF($F161&gt;2,$BY161*$D$210,"")</f>
      </c>
      <c r="CA161" s="329">
        <f>IF($F161&gt;3,$BZ161*$D$211,"")</f>
      </c>
      <c r="CB161" s="329">
        <f>IF($F161&gt;4,$CA161*$D$212,"")</f>
      </c>
      <c r="CC161" s="329">
        <f>IF($F161&gt;5,$CB161*$D$213,"")</f>
      </c>
      <c r="CD161" s="329">
        <f>IF($F161&gt;6,$CC161*$D$214,"")</f>
      </c>
      <c r="CE161" s="485" t="s">
        <v>610</v>
      </c>
      <c r="CF161" s="853" t="s">
        <v>919</v>
      </c>
      <c r="CG161" s="440">
        <v>0</v>
      </c>
      <c r="CH161" s="392">
        <v>0</v>
      </c>
      <c r="CI161" s="392">
        <f t="shared" si="63"/>
        <v>0</v>
      </c>
      <c r="CJ161" s="393">
        <f t="shared" si="64"/>
        <v>0</v>
      </c>
      <c r="CK161" s="307" t="e">
        <f>CJ161-#REF!</f>
        <v>#REF!</v>
      </c>
      <c r="CL161" s="54">
        <v>0</v>
      </c>
      <c r="CM161" s="21" t="e">
        <f t="shared" si="52"/>
        <v>#DIV/0!</v>
      </c>
      <c r="CN161" s="21" t="e">
        <f t="shared" si="53"/>
        <v>#DIV/0!</v>
      </c>
      <c r="CO161" s="54"/>
      <c r="CP161" s="625">
        <f t="shared" si="54"/>
        <v>130</v>
      </c>
      <c r="CQ161" s="626">
        <f t="shared" si="55"/>
        <v>110</v>
      </c>
      <c r="CR161" s="624" t="str">
        <f t="shared" si="56"/>
        <v>A</v>
      </c>
      <c r="CS161" s="634">
        <f t="shared" si="57"/>
        <v>260</v>
      </c>
      <c r="CT161" s="591">
        <f t="shared" si="67"/>
        <v>1700000</v>
      </c>
      <c r="CU161" s="591">
        <f t="shared" si="48"/>
        <v>325</v>
      </c>
      <c r="CV161" s="591">
        <v>1500</v>
      </c>
      <c r="CW161" s="54"/>
      <c r="CX161" s="54"/>
      <c r="CY161" s="54"/>
      <c r="CZ161" s="54"/>
      <c r="DA161" s="54">
        <v>1.6875</v>
      </c>
      <c r="DB161" s="54">
        <v>6.25</v>
      </c>
      <c r="DC161" s="649">
        <f t="shared" si="58"/>
        <v>5.27</v>
      </c>
    </row>
    <row r="162" spans="1:107" ht="12.75">
      <c r="A162" s="24" t="s">
        <v>317</v>
      </c>
      <c r="B162" s="69" t="s">
        <v>317</v>
      </c>
      <c r="C162" s="315" t="s">
        <v>1042</v>
      </c>
      <c r="D162" s="395">
        <v>30</v>
      </c>
      <c r="E162" s="396" t="s">
        <v>1342</v>
      </c>
      <c r="F162" s="15">
        <v>1</v>
      </c>
      <c r="G162" s="18">
        <v>1</v>
      </c>
      <c r="H162" s="17">
        <v>2</v>
      </c>
      <c r="I162" s="16">
        <v>0</v>
      </c>
      <c r="J162" s="738">
        <v>2</v>
      </c>
      <c r="K162" s="397">
        <v>0</v>
      </c>
      <c r="L162" s="868">
        <v>80</v>
      </c>
      <c r="M162" s="884">
        <v>11</v>
      </c>
      <c r="N162" s="398">
        <v>0</v>
      </c>
      <c r="O162" s="454">
        <v>10</v>
      </c>
      <c r="P162" s="531">
        <v>10</v>
      </c>
      <c r="Q162" s="340">
        <v>149</v>
      </c>
      <c r="R162" s="98">
        <v>120</v>
      </c>
      <c r="S162" s="326">
        <f t="shared" si="66"/>
        <v>153</v>
      </c>
      <c r="T162" s="342">
        <v>1650</v>
      </c>
      <c r="U162" s="343">
        <v>24500</v>
      </c>
      <c r="V162" s="344">
        <v>2500</v>
      </c>
      <c r="W162" s="289">
        <v>3.1</v>
      </c>
      <c r="X162" s="340">
        <v>188</v>
      </c>
      <c r="Y162" s="43">
        <v>50</v>
      </c>
      <c r="Z162" s="44">
        <v>10</v>
      </c>
      <c r="AA162" s="44">
        <v>35</v>
      </c>
      <c r="AB162" s="49">
        <v>35</v>
      </c>
      <c r="AC162" s="345">
        <v>79</v>
      </c>
      <c r="AD162" s="312">
        <v>625</v>
      </c>
      <c r="AE162" s="292">
        <f t="shared" si="61"/>
        <v>0.1264</v>
      </c>
      <c r="AF162" s="43">
        <v>0</v>
      </c>
      <c r="AG162" s="44">
        <v>50</v>
      </c>
      <c r="AH162" s="44">
        <v>40</v>
      </c>
      <c r="AI162" s="45">
        <v>20</v>
      </c>
      <c r="AJ162" s="5">
        <f t="shared" si="50"/>
        <v>416</v>
      </c>
      <c r="AK162" s="103" t="str">
        <f t="shared" si="60"/>
        <v>A</v>
      </c>
      <c r="AL162" s="862">
        <v>125</v>
      </c>
      <c r="AM162" s="458">
        <v>93.75</v>
      </c>
      <c r="AN162" s="295">
        <f t="shared" si="62"/>
        <v>1.3333333333333333</v>
      </c>
      <c r="AO162" s="145">
        <v>25</v>
      </c>
      <c r="AP162" s="85" t="s">
        <v>467</v>
      </c>
      <c r="AQ162" s="297">
        <v>475</v>
      </c>
      <c r="AR162" s="33">
        <v>0</v>
      </c>
      <c r="AS162" s="34">
        <v>0</v>
      </c>
      <c r="AT162" s="34">
        <v>4</v>
      </c>
      <c r="AU162" s="73">
        <v>0</v>
      </c>
      <c r="AV162" s="39">
        <v>45</v>
      </c>
      <c r="AW162" s="143">
        <v>260</v>
      </c>
      <c r="AX162" s="33">
        <v>0</v>
      </c>
      <c r="AY162" s="34">
        <v>0</v>
      </c>
      <c r="AZ162" s="34">
        <v>4</v>
      </c>
      <c r="BA162" s="84">
        <v>0</v>
      </c>
      <c r="BB162" s="586">
        <v>3</v>
      </c>
      <c r="BC162" s="590">
        <v>8.65801E-07</v>
      </c>
      <c r="BD162" s="588">
        <f t="shared" si="51"/>
        <v>54.68749152343882</v>
      </c>
      <c r="BE162" s="299"/>
      <c r="BF162" s="300"/>
      <c r="BG162" s="112"/>
      <c r="BH162" s="541"/>
      <c r="BI162" s="301"/>
      <c r="BJ162" s="696" t="s">
        <v>1476</v>
      </c>
      <c r="BK162" s="13"/>
      <c r="BL162" s="303" t="s">
        <v>318</v>
      </c>
      <c r="BM162" s="86" t="s">
        <v>1028</v>
      </c>
      <c r="BN162" s="303" t="s">
        <v>104</v>
      </c>
      <c r="BO162" s="86"/>
      <c r="BP162" s="1"/>
      <c r="BR162" s="1">
        <v>80</v>
      </c>
      <c r="BS162" s="21">
        <v>606</v>
      </c>
      <c r="BT162" s="605"/>
      <c r="BU162" s="600">
        <v>2.5</v>
      </c>
      <c r="BV162" s="601">
        <v>0.4</v>
      </c>
      <c r="BW162" s="386">
        <f t="shared" si="65"/>
        <v>120</v>
      </c>
      <c r="BX162" s="329">
        <f>IF($F162&gt;0,$BW162*$D$208,"")</f>
        <v>153</v>
      </c>
      <c r="BY162" s="329">
        <f>IF($F162&gt;1,$BX162*$D$209,"")</f>
      </c>
      <c r="BZ162" s="329">
        <f>IF($F162&gt;2,$BY162*$D$210,"")</f>
      </c>
      <c r="CA162" s="329">
        <f>IF($F162&gt;3,$BZ162*$D$211,"")</f>
      </c>
      <c r="CB162" s="329">
        <f>IF($F162&gt;4,$CA162*$D$212,"")</f>
      </c>
      <c r="CC162" s="329">
        <f>IF($F162&gt;5,$CB162*$D$213,"")</f>
      </c>
      <c r="CD162" s="329">
        <f>IF($F162&gt;6,$CC162*$D$214,"")</f>
      </c>
      <c r="CE162" s="485" t="s">
        <v>614</v>
      </c>
      <c r="CF162" s="853" t="s">
        <v>919</v>
      </c>
      <c r="CG162" s="440">
        <v>0</v>
      </c>
      <c r="CH162" s="392">
        <v>0</v>
      </c>
      <c r="CI162" s="392">
        <f t="shared" si="63"/>
        <v>0</v>
      </c>
      <c r="CJ162" s="393">
        <f t="shared" si="64"/>
        <v>0</v>
      </c>
      <c r="CK162" s="307" t="e">
        <f>CJ162-#REF!</f>
        <v>#REF!</v>
      </c>
      <c r="CL162" s="54">
        <v>0</v>
      </c>
      <c r="CM162" s="21" t="e">
        <f t="shared" si="52"/>
        <v>#DIV/0!</v>
      </c>
      <c r="CN162" s="21" t="e">
        <f t="shared" si="53"/>
        <v>#DIV/0!</v>
      </c>
      <c r="CO162" s="54"/>
      <c r="CP162" s="625">
        <f t="shared" si="54"/>
        <v>130</v>
      </c>
      <c r="CQ162" s="626">
        <f t="shared" si="55"/>
        <v>110</v>
      </c>
      <c r="CR162" s="624" t="str">
        <f t="shared" si="56"/>
        <v>A</v>
      </c>
      <c r="CS162" s="634">
        <f t="shared" si="57"/>
        <v>260</v>
      </c>
      <c r="CT162" s="591">
        <f t="shared" si="67"/>
        <v>1650000</v>
      </c>
      <c r="CU162" s="591">
        <f t="shared" si="48"/>
        <v>325</v>
      </c>
      <c r="CV162" s="591">
        <v>1500</v>
      </c>
      <c r="CW162" s="54"/>
      <c r="CX162" s="54"/>
      <c r="CY162" s="54"/>
      <c r="CZ162" s="54"/>
      <c r="DA162" s="54">
        <v>1.6875</v>
      </c>
      <c r="DB162" s="54">
        <v>6.25</v>
      </c>
      <c r="DC162" s="649">
        <f t="shared" si="58"/>
        <v>5.115</v>
      </c>
    </row>
    <row r="163" spans="1:107" ht="12.75">
      <c r="A163" s="24" t="s">
        <v>1030</v>
      </c>
      <c r="B163" s="69" t="s">
        <v>1030</v>
      </c>
      <c r="C163" s="319" t="s">
        <v>99</v>
      </c>
      <c r="D163" s="395">
        <v>30</v>
      </c>
      <c r="E163" s="396" t="s">
        <v>1342</v>
      </c>
      <c r="F163" s="15">
        <v>1</v>
      </c>
      <c r="G163" s="18">
        <v>1</v>
      </c>
      <c r="H163" s="17">
        <v>2</v>
      </c>
      <c r="I163" s="16">
        <v>0</v>
      </c>
      <c r="J163" s="187">
        <v>2</v>
      </c>
      <c r="K163" s="397">
        <v>0</v>
      </c>
      <c r="L163" s="868">
        <v>80</v>
      </c>
      <c r="M163" s="884">
        <v>11</v>
      </c>
      <c r="N163" s="398">
        <v>0</v>
      </c>
      <c r="O163" s="454">
        <v>5</v>
      </c>
      <c r="P163" s="531">
        <v>5</v>
      </c>
      <c r="Q163" s="340">
        <v>133</v>
      </c>
      <c r="R163" s="98">
        <v>120</v>
      </c>
      <c r="S163" s="326">
        <f t="shared" si="66"/>
        <v>153</v>
      </c>
      <c r="T163" s="342">
        <v>1550</v>
      </c>
      <c r="U163" s="343">
        <v>15800</v>
      </c>
      <c r="V163" s="344">
        <v>2500</v>
      </c>
      <c r="W163" s="289">
        <v>3.1</v>
      </c>
      <c r="X163" s="340">
        <v>173</v>
      </c>
      <c r="Y163" s="43">
        <v>60</v>
      </c>
      <c r="Z163" s="44">
        <v>10</v>
      </c>
      <c r="AA163" s="44">
        <v>25</v>
      </c>
      <c r="AB163" s="49">
        <v>35</v>
      </c>
      <c r="AC163" s="345">
        <v>79</v>
      </c>
      <c r="AD163" s="312">
        <v>625</v>
      </c>
      <c r="AE163" s="292">
        <f t="shared" si="61"/>
        <v>0.1264</v>
      </c>
      <c r="AF163" s="43">
        <v>0</v>
      </c>
      <c r="AG163" s="44">
        <v>50</v>
      </c>
      <c r="AH163" s="44">
        <v>40</v>
      </c>
      <c r="AI163" s="45">
        <v>20</v>
      </c>
      <c r="AJ163" s="5">
        <f t="shared" si="50"/>
        <v>385</v>
      </c>
      <c r="AK163" s="103" t="str">
        <f t="shared" si="60"/>
        <v>A</v>
      </c>
      <c r="AL163" s="862">
        <v>125</v>
      </c>
      <c r="AM163" s="458">
        <v>93.8</v>
      </c>
      <c r="AN163" s="295">
        <f t="shared" si="62"/>
        <v>1.3326226012793176</v>
      </c>
      <c r="AO163" s="145">
        <v>15</v>
      </c>
      <c r="AP163" s="85" t="s">
        <v>467</v>
      </c>
      <c r="AQ163" s="297">
        <v>475</v>
      </c>
      <c r="AR163" s="33">
        <v>0</v>
      </c>
      <c r="AS163" s="34">
        <v>0</v>
      </c>
      <c r="AT163" s="34">
        <v>0</v>
      </c>
      <c r="AU163" s="73">
        <v>4</v>
      </c>
      <c r="AV163" s="39">
        <v>45</v>
      </c>
      <c r="AW163" s="923">
        <v>275</v>
      </c>
      <c r="AX163" s="33">
        <v>0</v>
      </c>
      <c r="AY163" s="34">
        <v>0</v>
      </c>
      <c r="AZ163" s="34">
        <v>0</v>
      </c>
      <c r="BA163" s="84">
        <v>4</v>
      </c>
      <c r="BB163" s="586">
        <v>3</v>
      </c>
      <c r="BC163" s="590">
        <v>8.65801E-07</v>
      </c>
      <c r="BD163" s="588">
        <f t="shared" si="51"/>
        <v>58.215716783015516</v>
      </c>
      <c r="BE163" s="299"/>
      <c r="BF163" s="300"/>
      <c r="BG163" s="112"/>
      <c r="BH163" s="541"/>
      <c r="BI163" s="301"/>
      <c r="BJ163" s="696" t="s">
        <v>1476</v>
      </c>
      <c r="BK163" s="13"/>
      <c r="BL163" s="303" t="s">
        <v>1031</v>
      </c>
      <c r="BM163" s="86" t="s">
        <v>1032</v>
      </c>
      <c r="BN163" s="303" t="s">
        <v>104</v>
      </c>
      <c r="BO163" s="86"/>
      <c r="BP163" s="1" t="s">
        <v>713</v>
      </c>
      <c r="BR163" s="1">
        <v>76</v>
      </c>
      <c r="BS163" s="21">
        <v>588</v>
      </c>
      <c r="BT163" s="605" t="s">
        <v>214</v>
      </c>
      <c r="BU163" s="610">
        <v>2</v>
      </c>
      <c r="BV163" s="601">
        <v>0.2</v>
      </c>
      <c r="BW163" s="386">
        <f t="shared" si="65"/>
        <v>120</v>
      </c>
      <c r="BX163" s="329">
        <f>IF($F163&gt;0,$BW163*$D$208,"")</f>
        <v>153</v>
      </c>
      <c r="BY163" s="329">
        <f>IF($F163&gt;1,$BX163*$D$209,"")</f>
      </c>
      <c r="BZ163" s="329">
        <f>IF($F163&gt;2,$BY163*$D$210,"")</f>
      </c>
      <c r="CA163" s="329">
        <f>IF($F163&gt;3,$BZ163*$D$211,"")</f>
      </c>
      <c r="CB163" s="329">
        <f>IF($F163&gt;4,$CA163*$D$212,"")</f>
      </c>
      <c r="CC163" s="329">
        <f>IF($F163&gt;5,$CB163*$D$213,"")</f>
      </c>
      <c r="CD163" s="329">
        <f>IF($F163&gt;6,$CC163*$D$214,"")</f>
      </c>
      <c r="CE163" s="485" t="s">
        <v>1518</v>
      </c>
      <c r="CF163" s="853" t="s">
        <v>919</v>
      </c>
      <c r="CG163" s="440">
        <v>0</v>
      </c>
      <c r="CH163" s="392">
        <v>0</v>
      </c>
      <c r="CI163" s="392">
        <f t="shared" si="63"/>
        <v>0</v>
      </c>
      <c r="CJ163" s="393">
        <f t="shared" si="64"/>
        <v>0</v>
      </c>
      <c r="CK163" s="307" t="e">
        <f>CJ163-#REF!</f>
        <v>#REF!</v>
      </c>
      <c r="CL163" s="54">
        <v>0</v>
      </c>
      <c r="CM163" s="21" t="e">
        <f t="shared" si="52"/>
        <v>#DIV/0!</v>
      </c>
      <c r="CN163" s="21" t="e">
        <f t="shared" si="53"/>
        <v>#DIV/0!</v>
      </c>
      <c r="CO163" s="54"/>
      <c r="CP163" s="625">
        <f t="shared" si="54"/>
        <v>130</v>
      </c>
      <c r="CQ163" s="626">
        <f t="shared" si="55"/>
        <v>110</v>
      </c>
      <c r="CR163" s="624" t="str">
        <f t="shared" si="56"/>
        <v>A</v>
      </c>
      <c r="CS163" s="634">
        <f t="shared" si="57"/>
        <v>275</v>
      </c>
      <c r="CT163" s="591">
        <f t="shared" si="67"/>
        <v>1550000</v>
      </c>
      <c r="CU163" s="591">
        <f t="shared" si="48"/>
        <v>343.75</v>
      </c>
      <c r="CV163" s="591">
        <v>1500</v>
      </c>
      <c r="CW163" s="54"/>
      <c r="CX163" s="54"/>
      <c r="CY163" s="54"/>
      <c r="CZ163" s="54"/>
      <c r="DA163" s="54">
        <v>1.6875</v>
      </c>
      <c r="DB163" s="54">
        <v>6.25</v>
      </c>
      <c r="DC163" s="649">
        <f t="shared" si="58"/>
        <v>4.805</v>
      </c>
    </row>
    <row r="164" spans="1:107" ht="12.75">
      <c r="A164" s="389" t="s">
        <v>715</v>
      </c>
      <c r="B164" s="69" t="s">
        <v>646</v>
      </c>
      <c r="C164" s="308" t="s">
        <v>827</v>
      </c>
      <c r="D164" s="124">
        <v>21</v>
      </c>
      <c r="E164" s="121" t="s">
        <v>646</v>
      </c>
      <c r="F164" s="15">
        <v>0</v>
      </c>
      <c r="G164" s="18">
        <v>0</v>
      </c>
      <c r="H164" s="17">
        <v>0</v>
      </c>
      <c r="I164" s="16">
        <v>0</v>
      </c>
      <c r="J164" s="187">
        <v>0</v>
      </c>
      <c r="K164" s="188">
        <v>0</v>
      </c>
      <c r="L164" s="868">
        <v>150</v>
      </c>
      <c r="M164" s="884">
        <v>25</v>
      </c>
      <c r="N164" s="398">
        <v>1</v>
      </c>
      <c r="O164" s="454">
        <v>0</v>
      </c>
      <c r="P164" s="531">
        <v>0</v>
      </c>
      <c r="Q164" s="340">
        <v>16</v>
      </c>
      <c r="R164" s="98">
        <v>10</v>
      </c>
      <c r="S164" s="326">
        <f t="shared" si="66"/>
        <v>10</v>
      </c>
      <c r="T164" s="342">
        <v>1600</v>
      </c>
      <c r="U164" s="343">
        <v>5000</v>
      </c>
      <c r="V164" s="344">
        <v>500</v>
      </c>
      <c r="W164" s="289">
        <v>1</v>
      </c>
      <c r="X164" s="340">
        <v>195</v>
      </c>
      <c r="Y164" s="43">
        <v>50</v>
      </c>
      <c r="Z164" s="44">
        <v>20</v>
      </c>
      <c r="AA164" s="44">
        <v>25</v>
      </c>
      <c r="AB164" s="49">
        <v>35</v>
      </c>
      <c r="AC164" s="345">
        <v>235</v>
      </c>
      <c r="AD164" s="312">
        <v>625</v>
      </c>
      <c r="AE164" s="292">
        <f t="shared" si="61"/>
        <v>0.376</v>
      </c>
      <c r="AF164" s="43">
        <v>0</v>
      </c>
      <c r="AG164" s="44">
        <v>50</v>
      </c>
      <c r="AH164" s="44">
        <v>40</v>
      </c>
      <c r="AI164" s="45">
        <v>20</v>
      </c>
      <c r="AJ164" s="5">
        <f t="shared" si="50"/>
        <v>446</v>
      </c>
      <c r="AK164" s="103" t="str">
        <f t="shared" si="60"/>
        <v>S</v>
      </c>
      <c r="AL164" s="862">
        <v>250</v>
      </c>
      <c r="AM164" s="458">
        <v>375</v>
      </c>
      <c r="AN164" s="295">
        <f t="shared" si="62"/>
        <v>0.6666666666666666</v>
      </c>
      <c r="AO164" s="145">
        <v>35</v>
      </c>
      <c r="AP164" s="85" t="s">
        <v>467</v>
      </c>
      <c r="AQ164" s="297"/>
      <c r="AR164" s="33" t="s">
        <v>465</v>
      </c>
      <c r="AS164" s="34">
        <v>0</v>
      </c>
      <c r="AT164" s="34">
        <v>0</v>
      </c>
      <c r="AU164" s="73">
        <v>0</v>
      </c>
      <c r="AV164" s="39">
        <v>25</v>
      </c>
      <c r="AW164" s="143">
        <v>500</v>
      </c>
      <c r="AX164" s="33">
        <v>0</v>
      </c>
      <c r="AY164" s="34">
        <v>0</v>
      </c>
      <c r="AZ164" s="34">
        <v>0</v>
      </c>
      <c r="BA164" s="84">
        <v>0</v>
      </c>
      <c r="BB164" s="586">
        <v>6</v>
      </c>
      <c r="BC164" s="590">
        <v>1.34771E-06</v>
      </c>
      <c r="BD164" s="588">
        <f t="shared" si="51"/>
        <v>72.46087808207997</v>
      </c>
      <c r="BE164" s="299"/>
      <c r="BF164" s="300"/>
      <c r="BG164" s="112"/>
      <c r="BH164" s="541"/>
      <c r="BI164" s="301"/>
      <c r="BJ164" s="696" t="s">
        <v>1476</v>
      </c>
      <c r="BK164" s="13"/>
      <c r="BL164" s="303" t="s">
        <v>1299</v>
      </c>
      <c r="BM164" s="86" t="s">
        <v>1299</v>
      </c>
      <c r="BN164" s="303" t="s">
        <v>1299</v>
      </c>
      <c r="BO164" s="86" t="s">
        <v>1299</v>
      </c>
      <c r="BP164" s="1" t="s">
        <v>223</v>
      </c>
      <c r="BR164" s="1">
        <v>40</v>
      </c>
      <c r="BS164" s="21">
        <v>11134</v>
      </c>
      <c r="BT164" s="605"/>
      <c r="BU164" s="600" t="s">
        <v>1299</v>
      </c>
      <c r="BV164" s="601" t="s">
        <v>1299</v>
      </c>
      <c r="BW164" s="386">
        <f t="shared" si="65"/>
        <v>10</v>
      </c>
      <c r="BX164" s="329">
        <f>IF($F164&gt;0,$BW164*$D$208,"")</f>
      </c>
      <c r="BY164" s="329">
        <f>IF($F164&gt;1,$BX164*$D$209,"")</f>
      </c>
      <c r="BZ164" s="329">
        <f>IF($F164&gt;2,$BY164*$D$210,"")</f>
      </c>
      <c r="CA164" s="329">
        <f>IF($F164&gt;3,$BZ164*$D$211,"")</f>
      </c>
      <c r="CB164" s="329">
        <f>IF($F164&gt;4,$CA164*$D$212,"")</f>
      </c>
      <c r="CC164" s="329">
        <f>IF($F164&gt;5,$CB164*$D$213,"")</f>
      </c>
      <c r="CD164" s="329">
        <f>IF($F164&gt;6,$CC164*$D$214,"")</f>
      </c>
      <c r="CE164" s="485" t="s">
        <v>185</v>
      </c>
      <c r="CF164" s="853" t="s">
        <v>919</v>
      </c>
      <c r="CG164" s="440" t="s">
        <v>926</v>
      </c>
      <c r="CH164" s="305">
        <v>9000</v>
      </c>
      <c r="CI164" s="305">
        <f t="shared" si="63"/>
        <v>2700</v>
      </c>
      <c r="CJ164" s="306">
        <f t="shared" si="64"/>
        <v>6300</v>
      </c>
      <c r="CK164" s="307" t="e">
        <f>CJ164-#REF!</f>
        <v>#REF!</v>
      </c>
      <c r="CL164" s="54">
        <v>5000</v>
      </c>
      <c r="CM164" s="21">
        <f t="shared" si="52"/>
        <v>0.5555555555555556</v>
      </c>
      <c r="CN164" s="21">
        <f t="shared" si="53"/>
        <v>1.8518518518518519</v>
      </c>
      <c r="CO164" s="54"/>
      <c r="CP164" s="622">
        <f t="shared" si="54"/>
        <v>130</v>
      </c>
      <c r="CQ164" s="623">
        <f t="shared" si="55"/>
        <v>110</v>
      </c>
      <c r="CR164" s="624" t="str">
        <f t="shared" si="56"/>
        <v>S</v>
      </c>
      <c r="CS164" s="634">
        <f t="shared" si="57"/>
        <v>500</v>
      </c>
      <c r="CT164" s="591">
        <f t="shared" si="67"/>
        <v>1600000</v>
      </c>
      <c r="CU164" s="591">
        <f t="shared" si="48"/>
        <v>625</v>
      </c>
      <c r="CV164" s="591">
        <v>0</v>
      </c>
      <c r="CW164" s="54"/>
      <c r="CX164" s="54"/>
      <c r="CY164" s="54"/>
      <c r="CZ164" s="54"/>
      <c r="DA164" s="54">
        <v>0</v>
      </c>
      <c r="DB164" s="54">
        <v>0</v>
      </c>
      <c r="DC164" s="649">
        <f t="shared" si="58"/>
        <v>1.6</v>
      </c>
    </row>
    <row r="165" spans="1:107" ht="12.75">
      <c r="A165" s="389" t="s">
        <v>717</v>
      </c>
      <c r="B165" s="69" t="s">
        <v>646</v>
      </c>
      <c r="C165" s="636" t="s">
        <v>865</v>
      </c>
      <c r="D165" s="124">
        <v>21</v>
      </c>
      <c r="E165" s="121" t="s">
        <v>646</v>
      </c>
      <c r="F165" s="15">
        <v>0</v>
      </c>
      <c r="G165" s="18">
        <v>0</v>
      </c>
      <c r="H165" s="17">
        <v>0</v>
      </c>
      <c r="I165" s="16">
        <v>0</v>
      </c>
      <c r="J165" s="187">
        <v>0</v>
      </c>
      <c r="K165" s="188">
        <v>0</v>
      </c>
      <c r="L165" s="868">
        <v>150</v>
      </c>
      <c r="M165" s="884">
        <v>25</v>
      </c>
      <c r="N165" s="398">
        <v>1</v>
      </c>
      <c r="O165" s="454">
        <v>0</v>
      </c>
      <c r="P165" s="531">
        <v>0</v>
      </c>
      <c r="Q165" s="340">
        <v>16</v>
      </c>
      <c r="R165" s="98">
        <v>10</v>
      </c>
      <c r="S165" s="326">
        <f t="shared" si="66"/>
        <v>10</v>
      </c>
      <c r="T165" s="342">
        <v>1600</v>
      </c>
      <c r="U165" s="343">
        <v>5000</v>
      </c>
      <c r="V165" s="344">
        <v>500</v>
      </c>
      <c r="W165" s="289">
        <v>1</v>
      </c>
      <c r="X165" s="340">
        <v>195</v>
      </c>
      <c r="Y165" s="43">
        <v>50</v>
      </c>
      <c r="Z165" s="44">
        <v>10</v>
      </c>
      <c r="AA165" s="44">
        <v>25</v>
      </c>
      <c r="AB165" s="49">
        <v>45</v>
      </c>
      <c r="AC165" s="345">
        <v>235</v>
      </c>
      <c r="AD165" s="312">
        <v>625</v>
      </c>
      <c r="AE165" s="292">
        <f t="shared" si="61"/>
        <v>0.376</v>
      </c>
      <c r="AF165" s="43">
        <v>0</v>
      </c>
      <c r="AG165" s="44">
        <v>50</v>
      </c>
      <c r="AH165" s="44">
        <v>40</v>
      </c>
      <c r="AI165" s="45">
        <v>20</v>
      </c>
      <c r="AJ165" s="5">
        <f aca="true" t="shared" si="68" ref="AJ165:AJ204">Q165+X165+AC165</f>
        <v>446</v>
      </c>
      <c r="AK165" s="103" t="str">
        <f t="shared" si="60"/>
        <v>S</v>
      </c>
      <c r="AL165" s="862">
        <v>250</v>
      </c>
      <c r="AM165" s="458">
        <v>375</v>
      </c>
      <c r="AN165" s="295">
        <f t="shared" si="62"/>
        <v>0.6666666666666666</v>
      </c>
      <c r="AO165" s="145">
        <v>35</v>
      </c>
      <c r="AP165" s="85" t="s">
        <v>467</v>
      </c>
      <c r="AQ165" s="297"/>
      <c r="AR165" s="33" t="s">
        <v>465</v>
      </c>
      <c r="AS165" s="34">
        <v>0</v>
      </c>
      <c r="AT165" s="34">
        <v>0</v>
      </c>
      <c r="AU165" s="73">
        <v>0</v>
      </c>
      <c r="AV165" s="39">
        <v>25</v>
      </c>
      <c r="AW165" s="143">
        <v>500</v>
      </c>
      <c r="AX165" s="33">
        <v>0</v>
      </c>
      <c r="AY165" s="34">
        <v>0</v>
      </c>
      <c r="AZ165" s="34">
        <v>0</v>
      </c>
      <c r="BA165" s="84">
        <v>0</v>
      </c>
      <c r="BB165" s="586">
        <v>6</v>
      </c>
      <c r="BC165" s="590">
        <v>1.34771E-06</v>
      </c>
      <c r="BD165" s="588">
        <f t="shared" si="51"/>
        <v>72.46087808207997</v>
      </c>
      <c r="BE165" s="299"/>
      <c r="BF165" s="300"/>
      <c r="BG165" s="112"/>
      <c r="BH165" s="541"/>
      <c r="BI165" s="301"/>
      <c r="BJ165" s="696" t="s">
        <v>1476</v>
      </c>
      <c r="BK165" s="13"/>
      <c r="BL165" s="303" t="s">
        <v>1299</v>
      </c>
      <c r="BM165" s="86" t="s">
        <v>1299</v>
      </c>
      <c r="BN165" s="303" t="s">
        <v>1299</v>
      </c>
      <c r="BO165" s="86" t="s">
        <v>1299</v>
      </c>
      <c r="BP165" s="1" t="s">
        <v>224</v>
      </c>
      <c r="BQ165" t="s">
        <v>718</v>
      </c>
      <c r="BR165" s="1">
        <v>120</v>
      </c>
      <c r="BS165" s="21">
        <v>672</v>
      </c>
      <c r="BT165" s="605"/>
      <c r="BU165" s="600" t="s">
        <v>1299</v>
      </c>
      <c r="BV165" s="601" t="s">
        <v>1299</v>
      </c>
      <c r="BW165" s="386">
        <f t="shared" si="65"/>
        <v>10</v>
      </c>
      <c r="BX165" s="329">
        <f>IF($F165&gt;0,$BW165*$D$208,"")</f>
      </c>
      <c r="BY165" s="329">
        <f>IF($F165&gt;1,$BX165*$D$209,"")</f>
      </c>
      <c r="BZ165" s="329">
        <f>IF($F165&gt;2,$BY165*$D$210,"")</f>
      </c>
      <c r="CA165" s="329">
        <f>IF($F165&gt;3,$BZ165*$D$211,"")</f>
      </c>
      <c r="CB165" s="329">
        <f>IF($F165&gt;4,$CA165*$D$212,"")</f>
      </c>
      <c r="CC165" s="329">
        <f>IF($F165&gt;5,$CB165*$D$213,"")</f>
      </c>
      <c r="CD165" s="329">
        <f>IF($F165&gt;6,$CC165*$D$214,"")</f>
      </c>
      <c r="CE165" s="485" t="s">
        <v>451</v>
      </c>
      <c r="CF165" s="853" t="s">
        <v>919</v>
      </c>
      <c r="CG165" s="440" t="s">
        <v>926</v>
      </c>
      <c r="CH165" s="305">
        <v>9000</v>
      </c>
      <c r="CI165" s="305">
        <f t="shared" si="63"/>
        <v>2700</v>
      </c>
      <c r="CJ165" s="306">
        <f t="shared" si="64"/>
        <v>6300</v>
      </c>
      <c r="CK165" s="307" t="e">
        <f>CJ165-#REF!</f>
        <v>#REF!</v>
      </c>
      <c r="CL165" s="54">
        <v>5000</v>
      </c>
      <c r="CM165" s="21">
        <f t="shared" si="52"/>
        <v>0.5555555555555556</v>
      </c>
      <c r="CN165" s="21">
        <f t="shared" si="53"/>
        <v>1.8518518518518519</v>
      </c>
      <c r="CO165" s="54"/>
      <c r="CP165" s="622">
        <f t="shared" si="54"/>
        <v>130</v>
      </c>
      <c r="CQ165" s="623">
        <f t="shared" si="55"/>
        <v>110</v>
      </c>
      <c r="CR165" s="624" t="str">
        <f t="shared" si="56"/>
        <v>S</v>
      </c>
      <c r="CS165" s="634">
        <f t="shared" si="57"/>
        <v>500</v>
      </c>
      <c r="CT165" s="591">
        <f t="shared" si="67"/>
        <v>1600000</v>
      </c>
      <c r="CU165" s="591">
        <f t="shared" si="48"/>
        <v>625</v>
      </c>
      <c r="CV165" s="591">
        <v>0</v>
      </c>
      <c r="CW165" s="54"/>
      <c r="CX165" s="54"/>
      <c r="CY165" s="54"/>
      <c r="CZ165" s="54"/>
      <c r="DA165" s="54">
        <v>0</v>
      </c>
      <c r="DB165" s="54">
        <v>0</v>
      </c>
      <c r="DC165" s="649">
        <f t="shared" si="58"/>
        <v>1.6</v>
      </c>
    </row>
    <row r="166" spans="1:107" ht="12.75">
      <c r="A166" s="389" t="s">
        <v>720</v>
      </c>
      <c r="B166" s="69" t="s">
        <v>646</v>
      </c>
      <c r="C166" s="315" t="s">
        <v>1042</v>
      </c>
      <c r="D166" s="124">
        <v>21</v>
      </c>
      <c r="E166" s="121" t="s">
        <v>646</v>
      </c>
      <c r="F166" s="15">
        <v>0</v>
      </c>
      <c r="G166" s="18">
        <v>0</v>
      </c>
      <c r="H166" s="17">
        <v>0</v>
      </c>
      <c r="I166" s="16">
        <v>0</v>
      </c>
      <c r="J166" s="187">
        <v>0</v>
      </c>
      <c r="K166" s="188">
        <v>0</v>
      </c>
      <c r="L166" s="868">
        <v>150</v>
      </c>
      <c r="M166" s="884">
        <v>25</v>
      </c>
      <c r="N166" s="398">
        <v>1</v>
      </c>
      <c r="O166" s="454">
        <v>0</v>
      </c>
      <c r="P166" s="531">
        <v>0</v>
      </c>
      <c r="Q166" s="340">
        <v>16</v>
      </c>
      <c r="R166" s="98">
        <v>10</v>
      </c>
      <c r="S166" s="326">
        <f t="shared" si="66"/>
        <v>10</v>
      </c>
      <c r="T166" s="342">
        <v>1600</v>
      </c>
      <c r="U166" s="343">
        <v>5000</v>
      </c>
      <c r="V166" s="344">
        <v>500</v>
      </c>
      <c r="W166" s="289">
        <v>1</v>
      </c>
      <c r="X166" s="340">
        <v>195</v>
      </c>
      <c r="Y166" s="43">
        <v>50</v>
      </c>
      <c r="Z166" s="44">
        <v>10</v>
      </c>
      <c r="AA166" s="44">
        <v>35</v>
      </c>
      <c r="AB166" s="49">
        <v>35</v>
      </c>
      <c r="AC166" s="345">
        <v>235</v>
      </c>
      <c r="AD166" s="312">
        <v>625</v>
      </c>
      <c r="AE166" s="292">
        <f t="shared" si="61"/>
        <v>0.376</v>
      </c>
      <c r="AF166" s="43">
        <v>0</v>
      </c>
      <c r="AG166" s="44">
        <v>50</v>
      </c>
      <c r="AH166" s="44">
        <v>40</v>
      </c>
      <c r="AI166" s="45">
        <v>20</v>
      </c>
      <c r="AJ166" s="5">
        <f t="shared" si="68"/>
        <v>446</v>
      </c>
      <c r="AK166" s="103" t="str">
        <f t="shared" si="60"/>
        <v>S</v>
      </c>
      <c r="AL166" s="862">
        <v>250</v>
      </c>
      <c r="AM166" s="458">
        <v>375</v>
      </c>
      <c r="AN166" s="295">
        <f t="shared" si="62"/>
        <v>0.6666666666666666</v>
      </c>
      <c r="AO166" s="145">
        <v>35</v>
      </c>
      <c r="AP166" s="85" t="s">
        <v>467</v>
      </c>
      <c r="AQ166" s="297"/>
      <c r="AR166" s="33" t="s">
        <v>465</v>
      </c>
      <c r="AS166" s="34">
        <v>0</v>
      </c>
      <c r="AT166" s="34">
        <v>0</v>
      </c>
      <c r="AU166" s="73">
        <v>0</v>
      </c>
      <c r="AV166" s="39">
        <v>25</v>
      </c>
      <c r="AW166" s="143">
        <v>500</v>
      </c>
      <c r="AX166" s="33">
        <v>0</v>
      </c>
      <c r="AY166" s="34">
        <v>0</v>
      </c>
      <c r="AZ166" s="34">
        <v>0</v>
      </c>
      <c r="BA166" s="84">
        <v>0</v>
      </c>
      <c r="BB166" s="586">
        <v>6</v>
      </c>
      <c r="BC166" s="590">
        <v>1.34771E-06</v>
      </c>
      <c r="BD166" s="588">
        <f t="shared" si="51"/>
        <v>72.46087808207997</v>
      </c>
      <c r="BE166" s="299"/>
      <c r="BF166" s="300"/>
      <c r="BG166" s="112"/>
      <c r="BH166" s="541"/>
      <c r="BI166" s="301"/>
      <c r="BJ166" s="696" t="s">
        <v>1476</v>
      </c>
      <c r="BK166" s="13"/>
      <c r="BL166" s="303" t="s">
        <v>1299</v>
      </c>
      <c r="BM166" s="86" t="s">
        <v>1299</v>
      </c>
      <c r="BN166" s="303" t="s">
        <v>1299</v>
      </c>
      <c r="BO166" s="86" t="s">
        <v>1299</v>
      </c>
      <c r="BP166" s="1" t="s">
        <v>225</v>
      </c>
      <c r="BR166" s="1">
        <v>90</v>
      </c>
      <c r="BS166" s="21">
        <v>11129</v>
      </c>
      <c r="BT166" s="605"/>
      <c r="BU166" s="600" t="s">
        <v>1299</v>
      </c>
      <c r="BV166" s="601" t="s">
        <v>1299</v>
      </c>
      <c r="BW166" s="386">
        <f t="shared" si="65"/>
        <v>10</v>
      </c>
      <c r="BX166" s="329">
        <f>IF($F166&gt;0,$BW166*$D$208,"")</f>
      </c>
      <c r="BY166" s="329">
        <f>IF($F166&gt;1,$BX166*$D$209,"")</f>
      </c>
      <c r="BZ166" s="329">
        <f>IF($F166&gt;2,$BY166*$D$210,"")</f>
      </c>
      <c r="CA166" s="329">
        <f>IF($F166&gt;3,$BZ166*$D$211,"")</f>
      </c>
      <c r="CB166" s="329">
        <f>IF($F166&gt;4,$CA166*$D$212,"")</f>
      </c>
      <c r="CC166" s="329">
        <f>IF($F166&gt;5,$CB166*$D$213,"")</f>
      </c>
      <c r="CD166" s="329">
        <f>IF($F166&gt;6,$CC166*$D$214,"")</f>
      </c>
      <c r="CE166" s="485" t="s">
        <v>455</v>
      </c>
      <c r="CF166" s="853" t="s">
        <v>919</v>
      </c>
      <c r="CG166" s="440" t="s">
        <v>926</v>
      </c>
      <c r="CH166" s="305">
        <v>9000</v>
      </c>
      <c r="CI166" s="305">
        <f t="shared" si="63"/>
        <v>2700</v>
      </c>
      <c r="CJ166" s="306">
        <f t="shared" si="64"/>
        <v>6300</v>
      </c>
      <c r="CK166" s="307" t="e">
        <f>CJ166-#REF!</f>
        <v>#REF!</v>
      </c>
      <c r="CL166" s="54">
        <v>5000</v>
      </c>
      <c r="CM166" s="21">
        <f t="shared" si="52"/>
        <v>0.5555555555555556</v>
      </c>
      <c r="CN166" s="21">
        <f t="shared" si="53"/>
        <v>1.8518518518518519</v>
      </c>
      <c r="CO166" s="54"/>
      <c r="CP166" s="622">
        <f t="shared" si="54"/>
        <v>130</v>
      </c>
      <c r="CQ166" s="623">
        <f t="shared" si="55"/>
        <v>110</v>
      </c>
      <c r="CR166" s="624" t="str">
        <f t="shared" si="56"/>
        <v>S</v>
      </c>
      <c r="CS166" s="634">
        <f t="shared" si="57"/>
        <v>500</v>
      </c>
      <c r="CT166" s="591">
        <f t="shared" si="67"/>
        <v>1600000</v>
      </c>
      <c r="CU166" s="591">
        <f t="shared" si="48"/>
        <v>625</v>
      </c>
      <c r="CV166" s="591">
        <v>0</v>
      </c>
      <c r="CW166" s="54"/>
      <c r="CX166" s="54"/>
      <c r="CY166" s="54"/>
      <c r="CZ166" s="54"/>
      <c r="DA166" s="54">
        <v>0</v>
      </c>
      <c r="DB166" s="54">
        <v>0</v>
      </c>
      <c r="DC166" s="649">
        <f t="shared" si="58"/>
        <v>1.6</v>
      </c>
    </row>
    <row r="167" spans="1:107" ht="12.75">
      <c r="A167" s="389" t="s">
        <v>128</v>
      </c>
      <c r="B167" s="69" t="s">
        <v>646</v>
      </c>
      <c r="C167" s="319" t="s">
        <v>99</v>
      </c>
      <c r="D167" s="124">
        <v>21</v>
      </c>
      <c r="E167" s="121" t="s">
        <v>646</v>
      </c>
      <c r="F167" s="15">
        <v>0</v>
      </c>
      <c r="G167" s="18">
        <v>0</v>
      </c>
      <c r="H167" s="17">
        <v>0</v>
      </c>
      <c r="I167" s="16">
        <v>0</v>
      </c>
      <c r="J167" s="187">
        <v>0</v>
      </c>
      <c r="K167" s="188">
        <v>0</v>
      </c>
      <c r="L167" s="868">
        <v>150</v>
      </c>
      <c r="M167" s="884">
        <v>25</v>
      </c>
      <c r="N167" s="398">
        <v>1</v>
      </c>
      <c r="O167" s="454">
        <v>0</v>
      </c>
      <c r="P167" s="531">
        <v>0</v>
      </c>
      <c r="Q167" s="340">
        <v>16</v>
      </c>
      <c r="R167" s="98">
        <v>10</v>
      </c>
      <c r="S167" s="326">
        <f t="shared" si="66"/>
        <v>10</v>
      </c>
      <c r="T167" s="342">
        <v>1600</v>
      </c>
      <c r="U167" s="343">
        <v>5000</v>
      </c>
      <c r="V167" s="344">
        <v>500</v>
      </c>
      <c r="W167" s="289">
        <v>1</v>
      </c>
      <c r="X167" s="340">
        <v>195</v>
      </c>
      <c r="Y167" s="43">
        <v>60</v>
      </c>
      <c r="Z167" s="44">
        <v>10</v>
      </c>
      <c r="AA167" s="44">
        <v>25</v>
      </c>
      <c r="AB167" s="49">
        <v>35</v>
      </c>
      <c r="AC167" s="345">
        <v>235</v>
      </c>
      <c r="AD167" s="312">
        <v>625</v>
      </c>
      <c r="AE167" s="292">
        <f t="shared" si="61"/>
        <v>0.376</v>
      </c>
      <c r="AF167" s="43">
        <v>0</v>
      </c>
      <c r="AG167" s="44">
        <v>50</v>
      </c>
      <c r="AH167" s="44">
        <v>40</v>
      </c>
      <c r="AI167" s="45">
        <v>20</v>
      </c>
      <c r="AJ167" s="5">
        <f t="shared" si="68"/>
        <v>446</v>
      </c>
      <c r="AK167" s="103" t="str">
        <f t="shared" si="60"/>
        <v>S</v>
      </c>
      <c r="AL167" s="862">
        <v>250</v>
      </c>
      <c r="AM167" s="458">
        <v>375</v>
      </c>
      <c r="AN167" s="295">
        <f t="shared" si="62"/>
        <v>0.6666666666666666</v>
      </c>
      <c r="AO167" s="145">
        <v>35</v>
      </c>
      <c r="AP167" s="85" t="s">
        <v>467</v>
      </c>
      <c r="AQ167" s="297"/>
      <c r="AR167" s="33" t="s">
        <v>465</v>
      </c>
      <c r="AS167" s="34">
        <v>0</v>
      </c>
      <c r="AT167" s="34">
        <v>0</v>
      </c>
      <c r="AU167" s="73">
        <v>0</v>
      </c>
      <c r="AV167" s="39">
        <v>25</v>
      </c>
      <c r="AW167" s="143">
        <v>500</v>
      </c>
      <c r="AX167" s="33">
        <v>0</v>
      </c>
      <c r="AY167" s="34">
        <v>0</v>
      </c>
      <c r="AZ167" s="34">
        <v>0</v>
      </c>
      <c r="BA167" s="84">
        <v>0</v>
      </c>
      <c r="BB167" s="586">
        <v>6</v>
      </c>
      <c r="BC167" s="590">
        <v>1.34771E-06</v>
      </c>
      <c r="BD167" s="588">
        <f t="shared" si="51"/>
        <v>72.46087808207997</v>
      </c>
      <c r="BE167" s="299"/>
      <c r="BF167" s="300"/>
      <c r="BG167" s="112"/>
      <c r="BH167" s="541"/>
      <c r="BI167" s="301"/>
      <c r="BJ167" s="696" t="s">
        <v>1476</v>
      </c>
      <c r="BK167" s="13"/>
      <c r="BL167" s="303" t="s">
        <v>1299</v>
      </c>
      <c r="BM167" s="86" t="s">
        <v>1299</v>
      </c>
      <c r="BN167" s="303" t="s">
        <v>1299</v>
      </c>
      <c r="BO167" s="86" t="s">
        <v>1299</v>
      </c>
      <c r="BP167" s="1" t="s">
        <v>226</v>
      </c>
      <c r="BR167" s="1">
        <v>120</v>
      </c>
      <c r="BS167" s="21">
        <v>11132</v>
      </c>
      <c r="BT167" s="605"/>
      <c r="BU167" s="600" t="s">
        <v>1299</v>
      </c>
      <c r="BV167" s="601" t="s">
        <v>1299</v>
      </c>
      <c r="BW167" s="386">
        <f t="shared" si="65"/>
        <v>10</v>
      </c>
      <c r="BX167" s="329">
        <f>IF($F167&gt;0,$BW167*$D$208,"")</f>
      </c>
      <c r="BY167" s="329">
        <f>IF($F167&gt;1,$BX167*$D$209,"")</f>
      </c>
      <c r="BZ167" s="329">
        <f>IF($F167&gt;2,$BY167*$D$210,"")</f>
      </c>
      <c r="CA167" s="329">
        <f>IF($F167&gt;3,$BZ167*$D$211,"")</f>
      </c>
      <c r="CB167" s="329">
        <f>IF($F167&gt;4,$CA167*$D$212,"")</f>
      </c>
      <c r="CC167" s="329">
        <f>IF($F167&gt;5,$CB167*$D$213,"")</f>
      </c>
      <c r="CD167" s="329">
        <f>IF($F167&gt;6,$CC167*$D$214,"")</f>
      </c>
      <c r="CE167" s="485" t="s">
        <v>574</v>
      </c>
      <c r="CF167" s="853" t="s">
        <v>919</v>
      </c>
      <c r="CG167" s="440" t="s">
        <v>926</v>
      </c>
      <c r="CH167" s="305">
        <v>9000</v>
      </c>
      <c r="CI167" s="305">
        <f t="shared" si="63"/>
        <v>2700</v>
      </c>
      <c r="CJ167" s="306">
        <f t="shared" si="64"/>
        <v>6300</v>
      </c>
      <c r="CK167" s="307" t="e">
        <f>CJ167-#REF!</f>
        <v>#REF!</v>
      </c>
      <c r="CL167" s="54">
        <v>5000</v>
      </c>
      <c r="CM167" s="21">
        <f t="shared" si="52"/>
        <v>0.5555555555555556</v>
      </c>
      <c r="CN167" s="21">
        <f t="shared" si="53"/>
        <v>1.8518518518518519</v>
      </c>
      <c r="CO167" s="54"/>
      <c r="CP167" s="622">
        <f t="shared" si="54"/>
        <v>130</v>
      </c>
      <c r="CQ167" s="623">
        <f t="shared" si="55"/>
        <v>110</v>
      </c>
      <c r="CR167" s="624" t="str">
        <f t="shared" si="56"/>
        <v>S</v>
      </c>
      <c r="CS167" s="634">
        <f t="shared" si="57"/>
        <v>500</v>
      </c>
      <c r="CT167" s="591">
        <f t="shared" si="67"/>
        <v>1600000</v>
      </c>
      <c r="CU167" s="591">
        <f t="shared" si="48"/>
        <v>625</v>
      </c>
      <c r="CV167" s="591">
        <v>0</v>
      </c>
      <c r="CW167" s="54"/>
      <c r="CX167" s="54"/>
      <c r="CY167" s="54"/>
      <c r="CZ167" s="54"/>
      <c r="DA167" s="54">
        <v>0</v>
      </c>
      <c r="DB167" s="54">
        <v>0</v>
      </c>
      <c r="DC167" s="649">
        <f t="shared" si="58"/>
        <v>1.6</v>
      </c>
    </row>
    <row r="168" spans="1:107" ht="12.75">
      <c r="A168" s="24" t="s">
        <v>130</v>
      </c>
      <c r="B168" s="69" t="s">
        <v>130</v>
      </c>
      <c r="C168" s="117" t="s">
        <v>1299</v>
      </c>
      <c r="D168" s="991">
        <v>20</v>
      </c>
      <c r="E168" s="992" t="s">
        <v>131</v>
      </c>
      <c r="F168" s="15">
        <v>0</v>
      </c>
      <c r="G168" s="18">
        <v>0</v>
      </c>
      <c r="H168" s="17">
        <v>0</v>
      </c>
      <c r="I168" s="16">
        <v>0</v>
      </c>
      <c r="J168" s="187">
        <v>0</v>
      </c>
      <c r="K168" s="188">
        <v>0</v>
      </c>
      <c r="L168" s="993">
        <v>1</v>
      </c>
      <c r="M168" s="994">
        <v>1</v>
      </c>
      <c r="N168" s="995">
        <v>0</v>
      </c>
      <c r="O168" s="454">
        <v>0</v>
      </c>
      <c r="P168" s="531">
        <v>0</v>
      </c>
      <c r="Q168" s="340">
        <v>150</v>
      </c>
      <c r="R168" s="98">
        <v>0</v>
      </c>
      <c r="S168" s="326">
        <f t="shared" si="66"/>
        <v>0</v>
      </c>
      <c r="T168" s="342">
        <v>32</v>
      </c>
      <c r="U168" s="343">
        <v>1000</v>
      </c>
      <c r="V168" s="344">
        <v>1000</v>
      </c>
      <c r="W168" s="289">
        <v>2</v>
      </c>
      <c r="X168" s="340">
        <v>156</v>
      </c>
      <c r="Y168" s="43">
        <v>60</v>
      </c>
      <c r="Z168" s="44">
        <v>10</v>
      </c>
      <c r="AA168" s="44">
        <v>25</v>
      </c>
      <c r="AB168" s="49">
        <v>35</v>
      </c>
      <c r="AC168" s="345">
        <v>63</v>
      </c>
      <c r="AD168" s="312">
        <v>625</v>
      </c>
      <c r="AE168" s="292">
        <f t="shared" si="61"/>
        <v>0.1008</v>
      </c>
      <c r="AF168" s="43">
        <v>0</v>
      </c>
      <c r="AG168" s="44">
        <v>50</v>
      </c>
      <c r="AH168" s="44">
        <v>40</v>
      </c>
      <c r="AI168" s="45">
        <v>20</v>
      </c>
      <c r="AJ168" s="5">
        <f t="shared" si="68"/>
        <v>369</v>
      </c>
      <c r="AK168" s="103" t="str">
        <f t="shared" si="60"/>
        <v>A</v>
      </c>
      <c r="AL168" s="862">
        <v>125</v>
      </c>
      <c r="AM168" s="458">
        <v>187.5</v>
      </c>
      <c r="AN168" s="295">
        <f t="shared" si="62"/>
        <v>0.6666666666666666</v>
      </c>
      <c r="AO168" s="405">
        <v>0</v>
      </c>
      <c r="AP168" s="85" t="s">
        <v>467</v>
      </c>
      <c r="AQ168" s="931"/>
      <c r="AR168" s="33">
        <v>0</v>
      </c>
      <c r="AS168" s="34">
        <v>0</v>
      </c>
      <c r="AT168" s="34">
        <v>0</v>
      </c>
      <c r="AU168" s="73" t="s">
        <v>175</v>
      </c>
      <c r="AV168" s="932">
        <v>25</v>
      </c>
      <c r="AW168" s="143">
        <v>150</v>
      </c>
      <c r="AX168" s="33">
        <v>0</v>
      </c>
      <c r="AY168" s="34">
        <v>0</v>
      </c>
      <c r="AZ168" s="34">
        <v>0</v>
      </c>
      <c r="BA168" s="84">
        <v>0</v>
      </c>
      <c r="BB168" s="586">
        <v>3</v>
      </c>
      <c r="BC168" s="590"/>
      <c r="BD168" s="588" t="e">
        <f t="shared" si="51"/>
        <v>#DIV/0!</v>
      </c>
      <c r="BE168" s="299"/>
      <c r="BF168" s="300"/>
      <c r="BG168" s="112"/>
      <c r="BH168" s="541"/>
      <c r="BI168" s="611"/>
      <c r="BJ168" s="696" t="s">
        <v>1476</v>
      </c>
      <c r="BK168" s="13"/>
      <c r="BL168" s="303" t="s">
        <v>1299</v>
      </c>
      <c r="BM168" s="86" t="s">
        <v>1299</v>
      </c>
      <c r="BN168" s="303" t="s">
        <v>1299</v>
      </c>
      <c r="BO168" s="86" t="s">
        <v>1299</v>
      </c>
      <c r="BP168" s="1" t="s">
        <v>130</v>
      </c>
      <c r="BQ168" s="3"/>
      <c r="BR168" s="1">
        <v>670</v>
      </c>
      <c r="BS168" s="13">
        <v>670</v>
      </c>
      <c r="BT168" s="605"/>
      <c r="BU168" s="600" t="s">
        <v>1299</v>
      </c>
      <c r="BV168" s="600" t="s">
        <v>1299</v>
      </c>
      <c r="BW168" s="996">
        <f t="shared" si="65"/>
        <v>0</v>
      </c>
      <c r="BX168" s="997">
        <f>IF($F168&gt;0,$BW168*$D$208,"")</f>
      </c>
      <c r="BY168" s="997">
        <f>IF($F168&gt;1,$BX168*$D$209,"")</f>
      </c>
      <c r="BZ168" s="997">
        <f>IF($F168&gt;2,$BY168*$D$210,"")</f>
      </c>
      <c r="CA168" s="997">
        <f>IF($F168&gt;3,$BZ168*$D$211,"")</f>
      </c>
      <c r="CB168" s="997">
        <f>IF($F168&gt;4,$CA168*$D$212,"")</f>
      </c>
      <c r="CC168" s="997">
        <f>IF($F168&gt;5,$CB168*$D$213,"")</f>
      </c>
      <c r="CD168" s="997">
        <f>IF($F168&gt;6,$CC168*$D$214,"")</f>
      </c>
      <c r="CE168" s="485" t="s">
        <v>984</v>
      </c>
      <c r="CF168" s="853" t="s">
        <v>919</v>
      </c>
      <c r="CG168" s="440">
        <v>0</v>
      </c>
      <c r="CH168" s="392">
        <v>0</v>
      </c>
      <c r="CI168" s="392">
        <f t="shared" si="63"/>
        <v>0</v>
      </c>
      <c r="CJ168" s="393">
        <f t="shared" si="64"/>
        <v>0</v>
      </c>
      <c r="CK168" s="307" t="e">
        <f>CJ168-#REF!</f>
        <v>#REF!</v>
      </c>
      <c r="CL168" s="158">
        <v>0</v>
      </c>
      <c r="CM168" s="13" t="e">
        <f t="shared" si="52"/>
        <v>#DIV/0!</v>
      </c>
      <c r="CN168" s="13" t="e">
        <f t="shared" si="53"/>
        <v>#DIV/0!</v>
      </c>
      <c r="CO168" s="54"/>
      <c r="CP168" s="625">
        <f t="shared" si="54"/>
        <v>130</v>
      </c>
      <c r="CQ168" s="626">
        <f t="shared" si="55"/>
        <v>110</v>
      </c>
      <c r="CR168" s="624" t="str">
        <f t="shared" si="56"/>
        <v>A</v>
      </c>
      <c r="CS168" s="634">
        <f t="shared" si="57"/>
        <v>150</v>
      </c>
      <c r="CT168" s="591">
        <f t="shared" si="67"/>
        <v>32000</v>
      </c>
      <c r="CU168" s="591">
        <f t="shared" si="48"/>
        <v>187.5</v>
      </c>
      <c r="CV168" s="591">
        <v>0</v>
      </c>
      <c r="CW168" s="54"/>
      <c r="CX168" s="54"/>
      <c r="CY168" s="54"/>
      <c r="CZ168" s="54"/>
      <c r="DA168" s="54">
        <v>0</v>
      </c>
      <c r="DB168" s="54">
        <v>0</v>
      </c>
      <c r="DC168" s="649">
        <f t="shared" si="58"/>
        <v>0.064</v>
      </c>
    </row>
    <row r="169" spans="1:107" ht="12.75">
      <c r="A169" s="998" t="s">
        <v>557</v>
      </c>
      <c r="B169" s="934" t="s">
        <v>133</v>
      </c>
      <c r="C169" s="799" t="s">
        <v>827</v>
      </c>
      <c r="D169" s="999">
        <v>19</v>
      </c>
      <c r="E169" s="1000" t="s">
        <v>561</v>
      </c>
      <c r="F169" s="937">
        <v>0</v>
      </c>
      <c r="G169" s="1001">
        <v>0</v>
      </c>
      <c r="H169" s="939">
        <v>0</v>
      </c>
      <c r="I169" s="1002">
        <v>0</v>
      </c>
      <c r="J169" s="1003">
        <v>0</v>
      </c>
      <c r="K169" s="281">
        <v>0</v>
      </c>
      <c r="L169" s="1004">
        <v>1</v>
      </c>
      <c r="M169" s="1005">
        <v>1</v>
      </c>
      <c r="N169" s="1006">
        <v>0</v>
      </c>
      <c r="O169" s="945">
        <v>0</v>
      </c>
      <c r="P169" s="946">
        <v>0</v>
      </c>
      <c r="Q169" s="1007">
        <v>135000</v>
      </c>
      <c r="R169" s="1008">
        <v>275625</v>
      </c>
      <c r="S169" s="1009">
        <f t="shared" si="66"/>
        <v>275625</v>
      </c>
      <c r="T169" s="1010">
        <v>1125000</v>
      </c>
      <c r="U169" s="1011">
        <v>18500000</v>
      </c>
      <c r="V169" s="1012">
        <v>1000000</v>
      </c>
      <c r="W169" s="1013">
        <v>0.04</v>
      </c>
      <c r="X169" s="947">
        <v>28800</v>
      </c>
      <c r="Y169" s="1014">
        <v>50</v>
      </c>
      <c r="Z169" s="1015">
        <v>28</v>
      </c>
      <c r="AA169" s="1015">
        <v>25</v>
      </c>
      <c r="AB169" s="1016">
        <v>35</v>
      </c>
      <c r="AC169" s="958">
        <v>6000</v>
      </c>
      <c r="AD169" s="1017">
        <v>1666.67</v>
      </c>
      <c r="AE169" s="959">
        <f>AC169/AD169</f>
        <v>3.5999928000144</v>
      </c>
      <c r="AF169" s="1014">
        <v>0</v>
      </c>
      <c r="AG169" s="1015">
        <v>55</v>
      </c>
      <c r="AH169" s="1015">
        <v>40</v>
      </c>
      <c r="AI169" s="1018">
        <v>20</v>
      </c>
      <c r="AJ169" s="1019">
        <f>Q169+X169+AC169</f>
        <v>169800</v>
      </c>
      <c r="AK169" s="294" t="str">
        <f t="shared" si="60"/>
        <v>A</v>
      </c>
      <c r="AL169" s="1020">
        <v>37500</v>
      </c>
      <c r="AM169" s="1021">
        <v>461.95</v>
      </c>
      <c r="AN169" s="966">
        <f>AL169/AM169</f>
        <v>81.17761662517589</v>
      </c>
      <c r="AO169" s="1022">
        <v>0</v>
      </c>
      <c r="AP169" s="1023" t="s">
        <v>762</v>
      </c>
      <c r="AQ169" s="1024">
        <v>0</v>
      </c>
      <c r="AR169" s="970">
        <v>86</v>
      </c>
      <c r="AS169" s="971">
        <v>0</v>
      </c>
      <c r="AT169" s="971">
        <v>0</v>
      </c>
      <c r="AU169" s="972">
        <v>0</v>
      </c>
      <c r="AV169" s="1025">
        <v>2812</v>
      </c>
      <c r="AW169" s="1026">
        <v>84</v>
      </c>
      <c r="AX169" s="970">
        <v>0</v>
      </c>
      <c r="AY169" s="971">
        <v>0</v>
      </c>
      <c r="AZ169" s="971">
        <v>0</v>
      </c>
      <c r="BA169" s="975">
        <v>6</v>
      </c>
      <c r="BB169" s="976">
        <v>0.7</v>
      </c>
      <c r="BC169" s="977"/>
      <c r="BD169" s="978" t="e">
        <f t="shared" si="51"/>
        <v>#DIV/0!</v>
      </c>
      <c r="BE169" s="979">
        <v>95</v>
      </c>
      <c r="BF169" s="980">
        <v>5</v>
      </c>
      <c r="BG169" s="981" t="s">
        <v>991</v>
      </c>
      <c r="BH169" s="982">
        <v>2900</v>
      </c>
      <c r="BI169" s="983"/>
      <c r="BJ169" s="984" t="s">
        <v>1401</v>
      </c>
      <c r="BK169" s="985" t="s">
        <v>207</v>
      </c>
      <c r="BL169" s="302" t="s">
        <v>647</v>
      </c>
      <c r="BM169" s="986" t="s">
        <v>833</v>
      </c>
      <c r="BN169" s="302" t="s">
        <v>1079</v>
      </c>
      <c r="BO169" s="986"/>
      <c r="BP169" s="1052" t="s">
        <v>1365</v>
      </c>
      <c r="BQ169" s="987"/>
      <c r="BR169" s="1027">
        <v>1800</v>
      </c>
      <c r="BS169" s="985">
        <v>28850</v>
      </c>
      <c r="BT169" s="989"/>
      <c r="BU169" s="990" t="s">
        <v>1299</v>
      </c>
      <c r="BV169" s="990" t="s">
        <v>1299</v>
      </c>
      <c r="BW169" s="1028">
        <f aca="true" t="shared" si="69" ref="BW169:BW176">$R169+IF(AND($C169="Amarr",$D169&lt;20),($R169*0.05*$H$208),IF(AND($C169="Caldari",$D169&lt;20),($R169*0.05*$H$209),IF(AND($C169="Gallente",$D169&lt;20),($R169*0.05*$H$210),IF(AND($C169="Minmatar",$D169&lt;20),($R169*0.05*$H$211),""))))</f>
        <v>275625</v>
      </c>
      <c r="BX169" s="1029">
        <f>IF($F169&gt;0,$BW169*$D$208,"")</f>
      </c>
      <c r="BY169" s="1029">
        <f>IF($F169&gt;1,$BX169*$D$209,"")</f>
      </c>
      <c r="BZ169" s="1029">
        <f>IF($F169&gt;2,$BY169*$D$210,"")</f>
      </c>
      <c r="CA169" s="1029">
        <f>IF($F169&gt;3,$BZ169*$D$211,"")</f>
      </c>
      <c r="CB169" s="1029">
        <f>IF($F169&gt;4,$CA169*$D$212,"")</f>
      </c>
      <c r="CC169" s="1029">
        <f>IF($F169&gt;5,$CB169*$D$213,"")</f>
      </c>
      <c r="CD169" s="1029">
        <f>IF($F169&gt;6,$CC169*$D$214,"")</f>
      </c>
      <c r="CE169" s="1030" t="s">
        <v>911</v>
      </c>
      <c r="CF169" s="1031" t="s">
        <v>182</v>
      </c>
      <c r="CG169" s="1032"/>
      <c r="CH169" s="1033"/>
      <c r="CI169" s="1033">
        <f t="shared" si="63"/>
        <v>0</v>
      </c>
      <c r="CJ169" s="1034">
        <f>CH169-CI169</f>
        <v>0</v>
      </c>
      <c r="CK169" s="1035" t="e">
        <f>CJ169-#REF!</f>
        <v>#REF!</v>
      </c>
      <c r="CL169" s="1036"/>
      <c r="CM169" s="985" t="e">
        <f t="shared" si="52"/>
        <v>#DIV/0!</v>
      </c>
      <c r="CN169" s="985" t="e">
        <f t="shared" si="53"/>
        <v>#DIV/0!</v>
      </c>
      <c r="CO169" s="1036"/>
      <c r="CP169" s="619">
        <f t="shared" si="54"/>
        <v>138</v>
      </c>
      <c r="CQ169" s="620">
        <f t="shared" si="55"/>
        <v>115</v>
      </c>
      <c r="CR169" s="621" t="str">
        <f t="shared" si="56"/>
        <v>A</v>
      </c>
      <c r="CS169" s="1037">
        <f t="shared" si="57"/>
        <v>84</v>
      </c>
      <c r="CT169" s="1038">
        <f t="shared" si="67"/>
        <v>1125000000</v>
      </c>
      <c r="CU169" s="1038">
        <f t="shared" si="48"/>
        <v>105</v>
      </c>
      <c r="CV169" s="1038">
        <v>0</v>
      </c>
      <c r="CW169" s="1036"/>
      <c r="CX169" s="1036"/>
      <c r="CY169" s="1036"/>
      <c r="CZ169" s="1036"/>
      <c r="DA169" s="1036">
        <v>0</v>
      </c>
      <c r="DB169" s="1036">
        <v>0</v>
      </c>
      <c r="DC169" s="1039">
        <f t="shared" si="58"/>
        <v>45</v>
      </c>
    </row>
    <row r="170" spans="1:107" ht="12.75">
      <c r="A170" s="381" t="s">
        <v>558</v>
      </c>
      <c r="B170" s="117" t="s">
        <v>1285</v>
      </c>
      <c r="C170" s="636" t="s">
        <v>865</v>
      </c>
      <c r="D170" s="399">
        <v>19</v>
      </c>
      <c r="E170" s="538" t="s">
        <v>561</v>
      </c>
      <c r="F170" s="15">
        <v>0</v>
      </c>
      <c r="G170" s="18">
        <v>0</v>
      </c>
      <c r="H170" s="17">
        <v>0</v>
      </c>
      <c r="I170" s="16">
        <v>0</v>
      </c>
      <c r="J170" s="187">
        <v>0</v>
      </c>
      <c r="K170" s="188">
        <v>0</v>
      </c>
      <c r="L170" s="873">
        <v>1</v>
      </c>
      <c r="M170" s="886">
        <v>1</v>
      </c>
      <c r="N170" s="400">
        <v>0</v>
      </c>
      <c r="O170" s="455">
        <v>0</v>
      </c>
      <c r="P170" s="531">
        <v>0</v>
      </c>
      <c r="Q170" s="283">
        <v>127500</v>
      </c>
      <c r="R170" s="401">
        <v>294375</v>
      </c>
      <c r="S170" s="402">
        <f t="shared" si="66"/>
        <v>294375</v>
      </c>
      <c r="T170" s="316">
        <v>1200000</v>
      </c>
      <c r="U170" s="353">
        <v>16250000</v>
      </c>
      <c r="V170" s="403">
        <v>1000000</v>
      </c>
      <c r="W170" s="361">
        <v>0.035</v>
      </c>
      <c r="X170" s="340">
        <v>24000</v>
      </c>
      <c r="Y170" s="46">
        <v>50</v>
      </c>
      <c r="Z170" s="48">
        <v>10</v>
      </c>
      <c r="AA170" s="48">
        <v>25</v>
      </c>
      <c r="AB170" s="50">
        <v>50.5</v>
      </c>
      <c r="AC170" s="345">
        <v>7200</v>
      </c>
      <c r="AD170" s="362">
        <v>2000</v>
      </c>
      <c r="AE170" s="292">
        <f>AC170/AD170</f>
        <v>3.6</v>
      </c>
      <c r="AF170" s="46">
        <v>0</v>
      </c>
      <c r="AG170" s="48">
        <v>50</v>
      </c>
      <c r="AH170" s="48">
        <v>40</v>
      </c>
      <c r="AI170" s="47">
        <v>28</v>
      </c>
      <c r="AJ170" s="404">
        <f>Q170+X170+AC170</f>
        <v>158700</v>
      </c>
      <c r="AK170" s="103" t="str">
        <f t="shared" si="60"/>
        <v>A</v>
      </c>
      <c r="AL170" s="862">
        <v>35000</v>
      </c>
      <c r="AM170" s="459">
        <v>431.15</v>
      </c>
      <c r="AN170" s="295">
        <f>AL170/AM170</f>
        <v>81.17824423054621</v>
      </c>
      <c r="AO170" s="405">
        <v>0</v>
      </c>
      <c r="AP170" s="406" t="s">
        <v>762</v>
      </c>
      <c r="AQ170" s="407">
        <v>0</v>
      </c>
      <c r="AR170" s="33">
        <v>0</v>
      </c>
      <c r="AS170" s="34">
        <v>96</v>
      </c>
      <c r="AT170" s="34">
        <v>0</v>
      </c>
      <c r="AU170" s="73">
        <v>0</v>
      </c>
      <c r="AV170" s="371">
        <v>2928</v>
      </c>
      <c r="AW170" s="368">
        <v>72</v>
      </c>
      <c r="AX170" s="33">
        <v>0</v>
      </c>
      <c r="AY170" s="34">
        <v>0</v>
      </c>
      <c r="AZ170" s="34">
        <v>0</v>
      </c>
      <c r="BA170" s="84">
        <v>6</v>
      </c>
      <c r="BB170" s="586">
        <v>0.7</v>
      </c>
      <c r="BC170" s="590"/>
      <c r="BD170" s="588" t="e">
        <f t="shared" si="51"/>
        <v>#DIV/0!</v>
      </c>
      <c r="BE170" s="299">
        <v>95</v>
      </c>
      <c r="BF170" s="300">
        <v>5</v>
      </c>
      <c r="BG170" s="112" t="s">
        <v>696</v>
      </c>
      <c r="BH170" s="541">
        <v>3300</v>
      </c>
      <c r="BI170" s="301"/>
      <c r="BJ170" s="346" t="s">
        <v>1401</v>
      </c>
      <c r="BK170" s="13" t="s">
        <v>207</v>
      </c>
      <c r="BL170" s="303" t="s">
        <v>264</v>
      </c>
      <c r="BM170" s="86" t="s">
        <v>1471</v>
      </c>
      <c r="BN170" s="303" t="s">
        <v>1080</v>
      </c>
      <c r="BO170" s="86"/>
      <c r="BP170" s="1"/>
      <c r="BR170" s="1">
        <v>1600</v>
      </c>
      <c r="BS170" s="21">
        <v>28844</v>
      </c>
      <c r="BT170" s="605"/>
      <c r="BU170" s="600" t="s">
        <v>1299</v>
      </c>
      <c r="BV170" s="600" t="s">
        <v>1299</v>
      </c>
      <c r="BW170" s="408">
        <f t="shared" si="69"/>
        <v>294375</v>
      </c>
      <c r="BX170" s="329">
        <f>IF($F170&gt;0,$BW170*$D$208,"")</f>
      </c>
      <c r="BY170" s="329">
        <f>IF($F170&gt;1,$BX170*$D$209,"")</f>
      </c>
      <c r="BZ170" s="329">
        <f>IF($F170&gt;2,$BY170*$D$210,"")</f>
      </c>
      <c r="CA170" s="329">
        <f>IF($F170&gt;3,$BZ170*$D$211,"")</f>
      </c>
      <c r="CB170" s="329">
        <f>IF($F170&gt;4,$CA170*$D$212,"")</f>
      </c>
      <c r="CC170" s="329">
        <f>IF($F170&gt;5,$CB170*$D$213,"")</f>
      </c>
      <c r="CD170" s="329">
        <f>IF($F170&gt;6,$CC170*$D$214,"")</f>
      </c>
      <c r="CE170" s="485" t="s">
        <v>639</v>
      </c>
      <c r="CF170" s="851" t="s">
        <v>182</v>
      </c>
      <c r="CG170" s="440"/>
      <c r="CH170" s="305"/>
      <c r="CI170" s="305">
        <f t="shared" si="63"/>
        <v>0</v>
      </c>
      <c r="CJ170" s="306">
        <f>CH170-CI170</f>
        <v>0</v>
      </c>
      <c r="CK170" s="307" t="e">
        <f>CJ170-#REF!</f>
        <v>#REF!</v>
      </c>
      <c r="CL170" s="54"/>
      <c r="CM170" s="21" t="e">
        <f t="shared" si="52"/>
        <v>#DIV/0!</v>
      </c>
      <c r="CN170" s="21" t="e">
        <f t="shared" si="53"/>
        <v>#DIV/0!</v>
      </c>
      <c r="CO170" s="54"/>
      <c r="CP170" s="625">
        <f t="shared" si="54"/>
        <v>135.5</v>
      </c>
      <c r="CQ170" s="626">
        <f t="shared" si="55"/>
        <v>118</v>
      </c>
      <c r="CR170" s="624" t="str">
        <f t="shared" si="56"/>
        <v>A</v>
      </c>
      <c r="CS170" s="634">
        <f t="shared" si="57"/>
        <v>72</v>
      </c>
      <c r="CT170" s="591">
        <f t="shared" si="67"/>
        <v>1200000000</v>
      </c>
      <c r="CU170" s="591">
        <f t="shared" si="48"/>
        <v>90</v>
      </c>
      <c r="CV170" s="591">
        <v>0</v>
      </c>
      <c r="CW170" s="54"/>
      <c r="CX170" s="54"/>
      <c r="CY170" s="54"/>
      <c r="CZ170" s="54"/>
      <c r="DA170" s="54">
        <v>0</v>
      </c>
      <c r="DB170" s="54">
        <v>0</v>
      </c>
      <c r="DC170" s="649">
        <f t="shared" si="58"/>
        <v>42.00000000000001</v>
      </c>
    </row>
    <row r="171" spans="1:107" ht="12.75">
      <c r="A171" s="381" t="s">
        <v>559</v>
      </c>
      <c r="B171" s="117" t="s">
        <v>821</v>
      </c>
      <c r="C171" s="315" t="s">
        <v>1042</v>
      </c>
      <c r="D171" s="399">
        <v>19</v>
      </c>
      <c r="E171" s="538" t="s">
        <v>561</v>
      </c>
      <c r="F171" s="15">
        <v>0</v>
      </c>
      <c r="G171" s="18">
        <v>0</v>
      </c>
      <c r="H171" s="17">
        <v>0</v>
      </c>
      <c r="I171" s="16">
        <v>0</v>
      </c>
      <c r="J171" s="187">
        <v>0</v>
      </c>
      <c r="K171" s="188">
        <v>0</v>
      </c>
      <c r="L171" s="873">
        <v>1</v>
      </c>
      <c r="M171" s="886">
        <v>1</v>
      </c>
      <c r="N171" s="400">
        <v>0</v>
      </c>
      <c r="O171" s="455">
        <v>0</v>
      </c>
      <c r="P171" s="531">
        <v>0</v>
      </c>
      <c r="Q171" s="283">
        <v>144000</v>
      </c>
      <c r="R171" s="401">
        <v>281250</v>
      </c>
      <c r="S171" s="402">
        <f t="shared" si="66"/>
        <v>281250</v>
      </c>
      <c r="T171" s="316">
        <v>1175000</v>
      </c>
      <c r="U171" s="353">
        <v>17550000</v>
      </c>
      <c r="V171" s="403">
        <v>1000000</v>
      </c>
      <c r="W171" s="361">
        <v>0.04</v>
      </c>
      <c r="X171" s="340">
        <v>27000</v>
      </c>
      <c r="Y171" s="46">
        <v>50</v>
      </c>
      <c r="Z171" s="48">
        <v>10</v>
      </c>
      <c r="AA171" s="48">
        <v>41.5</v>
      </c>
      <c r="AB171" s="50">
        <v>35</v>
      </c>
      <c r="AC171" s="345">
        <v>6375</v>
      </c>
      <c r="AD171" s="362">
        <v>1770.83</v>
      </c>
      <c r="AE171" s="292">
        <f>AC171/AD171</f>
        <v>3.6000067764833443</v>
      </c>
      <c r="AF171" s="46">
        <v>0</v>
      </c>
      <c r="AG171" s="48">
        <v>50</v>
      </c>
      <c r="AH171" s="48">
        <v>46</v>
      </c>
      <c r="AI171" s="47">
        <v>20</v>
      </c>
      <c r="AJ171" s="404">
        <f>Q171+X171+AC171</f>
        <v>177375</v>
      </c>
      <c r="AK171" s="103" t="str">
        <f t="shared" si="60"/>
        <v>A</v>
      </c>
      <c r="AL171" s="862">
        <v>35000</v>
      </c>
      <c r="AM171" s="459">
        <v>431.15</v>
      </c>
      <c r="AN171" s="295">
        <f>AL171/AM171</f>
        <v>81.17824423054621</v>
      </c>
      <c r="AO171" s="405">
        <v>0</v>
      </c>
      <c r="AP171" s="406" t="s">
        <v>762</v>
      </c>
      <c r="AQ171" s="407">
        <v>0</v>
      </c>
      <c r="AR171" s="33">
        <v>0</v>
      </c>
      <c r="AS171" s="34">
        <v>0</v>
      </c>
      <c r="AT171" s="34">
        <v>91</v>
      </c>
      <c r="AU171" s="73">
        <v>0</v>
      </c>
      <c r="AV171" s="371">
        <v>2884</v>
      </c>
      <c r="AW171" s="368">
        <v>78</v>
      </c>
      <c r="AX171" s="33">
        <v>0</v>
      </c>
      <c r="AY171" s="34">
        <v>0</v>
      </c>
      <c r="AZ171" s="34">
        <v>0</v>
      </c>
      <c r="BA171" s="84">
        <v>6</v>
      </c>
      <c r="BB171" s="586">
        <v>0.7</v>
      </c>
      <c r="BC171" s="590"/>
      <c r="BD171" s="588" t="e">
        <f t="shared" si="51"/>
        <v>#DIV/0!</v>
      </c>
      <c r="BE171" s="299">
        <v>95</v>
      </c>
      <c r="BF171" s="300">
        <v>5</v>
      </c>
      <c r="BG171" s="112" t="s">
        <v>1027</v>
      </c>
      <c r="BH171" s="541">
        <v>3100</v>
      </c>
      <c r="BI171" s="301"/>
      <c r="BJ171" s="346" t="s">
        <v>1401</v>
      </c>
      <c r="BK171" s="13" t="s">
        <v>207</v>
      </c>
      <c r="BL171" s="303" t="s">
        <v>1142</v>
      </c>
      <c r="BM171" s="86" t="s">
        <v>303</v>
      </c>
      <c r="BN171" s="303" t="s">
        <v>1082</v>
      </c>
      <c r="BO171" s="86"/>
      <c r="BP171" s="1"/>
      <c r="BR171" s="1">
        <v>1200</v>
      </c>
      <c r="BS171" s="21">
        <v>28848</v>
      </c>
      <c r="BT171" s="605"/>
      <c r="BU171" s="600" t="s">
        <v>1299</v>
      </c>
      <c r="BV171" s="600" t="s">
        <v>1299</v>
      </c>
      <c r="BW171" s="408">
        <f t="shared" si="69"/>
        <v>281250</v>
      </c>
      <c r="BX171" s="329">
        <f>IF($F171&gt;0,$BW171*$D$208,"")</f>
      </c>
      <c r="BY171" s="329">
        <f>IF($F171&gt;1,$BX171*$D$209,"")</f>
      </c>
      <c r="BZ171" s="329">
        <f>IF($F171&gt;2,$BY171*$D$210,"")</f>
      </c>
      <c r="CA171" s="329">
        <f>IF($F171&gt;3,$BZ171*$D$211,"")</f>
      </c>
      <c r="CB171" s="329">
        <f>IF($F171&gt;4,$CA171*$D$212,"")</f>
      </c>
      <c r="CC171" s="329">
        <f>IF($F171&gt;5,$CB171*$D$213,"")</f>
      </c>
      <c r="CD171" s="329">
        <f>IF($F171&gt;6,$CC171*$D$214,"")</f>
      </c>
      <c r="CE171" s="485" t="s">
        <v>1053</v>
      </c>
      <c r="CF171" s="851" t="s">
        <v>182</v>
      </c>
      <c r="CG171" s="440"/>
      <c r="CH171" s="305"/>
      <c r="CI171" s="305">
        <f t="shared" si="63"/>
        <v>0</v>
      </c>
      <c r="CJ171" s="306">
        <f>CH171-CI171</f>
        <v>0</v>
      </c>
      <c r="CK171" s="307" t="e">
        <f>CJ171-#REF!</f>
        <v>#REF!</v>
      </c>
      <c r="CL171" s="54"/>
      <c r="CM171" s="21" t="e">
        <f t="shared" si="52"/>
        <v>#DIV/0!</v>
      </c>
      <c r="CN171" s="21" t="e">
        <f t="shared" si="53"/>
        <v>#DIV/0!</v>
      </c>
      <c r="CO171" s="54"/>
      <c r="CP171" s="625">
        <f t="shared" si="54"/>
        <v>136.5</v>
      </c>
      <c r="CQ171" s="626">
        <f t="shared" si="55"/>
        <v>116</v>
      </c>
      <c r="CR171" s="624" t="str">
        <f t="shared" si="56"/>
        <v>A</v>
      </c>
      <c r="CS171" s="634">
        <f t="shared" si="57"/>
        <v>78</v>
      </c>
      <c r="CT171" s="591">
        <f t="shared" si="67"/>
        <v>1175000000</v>
      </c>
      <c r="CU171" s="591">
        <f t="shared" si="48"/>
        <v>97.5</v>
      </c>
      <c r="CV171" s="591">
        <v>0</v>
      </c>
      <c r="CW171" s="54"/>
      <c r="CX171" s="54"/>
      <c r="CY171" s="54"/>
      <c r="CZ171" s="54"/>
      <c r="DA171" s="54">
        <v>0</v>
      </c>
      <c r="DB171" s="54">
        <v>0</v>
      </c>
      <c r="DC171" s="649">
        <f t="shared" si="58"/>
        <v>47</v>
      </c>
    </row>
    <row r="172" spans="1:107" ht="12.75">
      <c r="A172" s="381" t="s">
        <v>560</v>
      </c>
      <c r="B172" s="117" t="s">
        <v>813</v>
      </c>
      <c r="C172" s="319" t="s">
        <v>99</v>
      </c>
      <c r="D172" s="399">
        <v>19</v>
      </c>
      <c r="E172" s="538" t="s">
        <v>561</v>
      </c>
      <c r="F172" s="15">
        <v>0</v>
      </c>
      <c r="G172" s="18">
        <v>0</v>
      </c>
      <c r="H172" s="17">
        <v>0</v>
      </c>
      <c r="I172" s="16">
        <v>0</v>
      </c>
      <c r="J172" s="187">
        <v>0</v>
      </c>
      <c r="K172" s="188">
        <v>0</v>
      </c>
      <c r="L172" s="873">
        <v>1</v>
      </c>
      <c r="M172" s="886">
        <v>1</v>
      </c>
      <c r="N172" s="400">
        <v>0</v>
      </c>
      <c r="O172" s="455">
        <v>0</v>
      </c>
      <c r="P172" s="531">
        <v>0</v>
      </c>
      <c r="Q172" s="283">
        <v>120000</v>
      </c>
      <c r="R172" s="401">
        <v>270000</v>
      </c>
      <c r="S172" s="402">
        <f t="shared" si="66"/>
        <v>270000</v>
      </c>
      <c r="T172" s="316">
        <v>1025000</v>
      </c>
      <c r="U172" s="353">
        <v>15500000</v>
      </c>
      <c r="V172" s="403">
        <v>1000000</v>
      </c>
      <c r="W172" s="361">
        <v>0.04</v>
      </c>
      <c r="X172" s="340">
        <v>25500</v>
      </c>
      <c r="Y172" s="46">
        <v>64</v>
      </c>
      <c r="Z172" s="48">
        <v>10</v>
      </c>
      <c r="AA172" s="48">
        <v>25</v>
      </c>
      <c r="AB172" s="50">
        <v>35</v>
      </c>
      <c r="AC172" s="345">
        <v>6750</v>
      </c>
      <c r="AD172" s="362">
        <v>1875</v>
      </c>
      <c r="AE172" s="292">
        <f>AC172/AD172</f>
        <v>3.6</v>
      </c>
      <c r="AF172" s="46">
        <v>10</v>
      </c>
      <c r="AG172" s="48">
        <v>50</v>
      </c>
      <c r="AH172" s="48">
        <v>40</v>
      </c>
      <c r="AI172" s="47">
        <v>20</v>
      </c>
      <c r="AJ172" s="404">
        <f>Q172+X172+AC172</f>
        <v>152250</v>
      </c>
      <c r="AK172" s="103" t="str">
        <f t="shared" si="60"/>
        <v>A</v>
      </c>
      <c r="AL172" s="862">
        <v>30000</v>
      </c>
      <c r="AM172" s="459">
        <v>369.56</v>
      </c>
      <c r="AN172" s="295">
        <f>AL172/AM172</f>
        <v>81.17761662517589</v>
      </c>
      <c r="AO172" s="405">
        <v>0</v>
      </c>
      <c r="AP172" s="406" t="s">
        <v>762</v>
      </c>
      <c r="AQ172" s="407">
        <v>0</v>
      </c>
      <c r="AR172" s="33">
        <v>0</v>
      </c>
      <c r="AS172" s="34">
        <v>0</v>
      </c>
      <c r="AT172" s="34">
        <v>0</v>
      </c>
      <c r="AU172" s="73">
        <v>82</v>
      </c>
      <c r="AV172" s="371">
        <v>2708</v>
      </c>
      <c r="AW172" s="368">
        <v>96</v>
      </c>
      <c r="AX172" s="33">
        <v>0</v>
      </c>
      <c r="AY172" s="34">
        <v>0</v>
      </c>
      <c r="AZ172" s="34">
        <v>0</v>
      </c>
      <c r="BA172" s="84">
        <v>6</v>
      </c>
      <c r="BB172" s="586">
        <v>0.7</v>
      </c>
      <c r="BC172" s="590"/>
      <c r="BD172" s="588" t="e">
        <f t="shared" si="51"/>
        <v>#DIV/0!</v>
      </c>
      <c r="BE172" s="299">
        <v>95</v>
      </c>
      <c r="BF172" s="300">
        <v>5</v>
      </c>
      <c r="BG172" s="112" t="s">
        <v>1581</v>
      </c>
      <c r="BH172" s="541">
        <v>2700</v>
      </c>
      <c r="BI172" s="301"/>
      <c r="BJ172" s="346" t="s">
        <v>1401</v>
      </c>
      <c r="BK172" s="13" t="s">
        <v>207</v>
      </c>
      <c r="BL172" s="303" t="s">
        <v>1143</v>
      </c>
      <c r="BM172" s="86" t="s">
        <v>757</v>
      </c>
      <c r="BN172" s="303" t="s">
        <v>1230</v>
      </c>
      <c r="BO172" s="86"/>
      <c r="BP172" s="1" t="s">
        <v>1366</v>
      </c>
      <c r="BR172" s="1">
        <v>1400</v>
      </c>
      <c r="BS172" s="21">
        <v>28846</v>
      </c>
      <c r="BT172" s="605"/>
      <c r="BU172" s="600" t="s">
        <v>1299</v>
      </c>
      <c r="BV172" s="600" t="s">
        <v>1299</v>
      </c>
      <c r="BW172" s="408">
        <f t="shared" si="69"/>
        <v>270000</v>
      </c>
      <c r="BX172" s="329">
        <f>IF($F172&gt;0,$BW172*$D$208,"")</f>
      </c>
      <c r="BY172" s="329">
        <f>IF($F172&gt;1,$BX172*$D$209,"")</f>
      </c>
      <c r="BZ172" s="329">
        <f>IF($F172&gt;2,$BY172*$D$210,"")</f>
      </c>
      <c r="CA172" s="329">
        <f>IF($F172&gt;3,$BZ172*$D$211,"")</f>
      </c>
      <c r="CB172" s="329">
        <f>IF($F172&gt;4,$CA172*$D$212,"")</f>
      </c>
      <c r="CC172" s="329">
        <f>IF($F172&gt;5,$CB172*$D$213,"")</f>
      </c>
      <c r="CD172" s="329">
        <f>IF($F172&gt;6,$CC172*$D$214,"")</f>
      </c>
      <c r="CE172" s="485" t="s">
        <v>1339</v>
      </c>
      <c r="CF172" s="851" t="s">
        <v>182</v>
      </c>
      <c r="CG172" s="440"/>
      <c r="CH172" s="305"/>
      <c r="CI172" s="305">
        <f t="shared" si="63"/>
        <v>0</v>
      </c>
      <c r="CJ172" s="306">
        <f>CH172-CI172</f>
        <v>0</v>
      </c>
      <c r="CK172" s="307" t="e">
        <f>CJ172-#REF!</f>
        <v>#REF!</v>
      </c>
      <c r="CL172" s="54"/>
      <c r="CM172" s="21" t="e">
        <f t="shared" si="52"/>
        <v>#DIV/0!</v>
      </c>
      <c r="CN172" s="21" t="e">
        <f t="shared" si="53"/>
        <v>#DIV/0!</v>
      </c>
      <c r="CO172" s="54"/>
      <c r="CP172" s="625">
        <f t="shared" si="54"/>
        <v>134</v>
      </c>
      <c r="CQ172" s="626">
        <f t="shared" si="55"/>
        <v>120</v>
      </c>
      <c r="CR172" s="624" t="str">
        <f t="shared" si="56"/>
        <v>A</v>
      </c>
      <c r="CS172" s="634">
        <f t="shared" si="57"/>
        <v>96</v>
      </c>
      <c r="CT172" s="591">
        <f t="shared" si="67"/>
        <v>1025000000</v>
      </c>
      <c r="CU172" s="591">
        <f t="shared" si="48"/>
        <v>120</v>
      </c>
      <c r="CV172" s="591">
        <v>0</v>
      </c>
      <c r="CW172" s="54"/>
      <c r="CX172" s="54"/>
      <c r="CY172" s="54"/>
      <c r="CZ172" s="54"/>
      <c r="DA172" s="54">
        <v>0</v>
      </c>
      <c r="DB172" s="54">
        <v>0</v>
      </c>
      <c r="DC172" s="649">
        <f t="shared" si="58"/>
        <v>41</v>
      </c>
    </row>
    <row r="173" spans="1:107" ht="12.75">
      <c r="A173" s="381" t="s">
        <v>133</v>
      </c>
      <c r="B173" s="69" t="s">
        <v>133</v>
      </c>
      <c r="C173" s="308" t="s">
        <v>827</v>
      </c>
      <c r="D173" s="399">
        <v>18</v>
      </c>
      <c r="E173" s="410" t="s">
        <v>134</v>
      </c>
      <c r="F173" s="15">
        <v>0</v>
      </c>
      <c r="G173" s="18">
        <v>0</v>
      </c>
      <c r="H173" s="17">
        <v>0</v>
      </c>
      <c r="I173" s="16">
        <v>0</v>
      </c>
      <c r="J173" s="187">
        <v>0</v>
      </c>
      <c r="K173" s="188">
        <v>0</v>
      </c>
      <c r="L173" s="873">
        <v>1</v>
      </c>
      <c r="M173" s="886">
        <v>1</v>
      </c>
      <c r="N173" s="400">
        <v>0</v>
      </c>
      <c r="O173" s="455">
        <v>0</v>
      </c>
      <c r="P173" s="531">
        <v>0</v>
      </c>
      <c r="Q173" s="283">
        <v>112500</v>
      </c>
      <c r="R173" s="401">
        <v>735000</v>
      </c>
      <c r="S173" s="402">
        <f t="shared" si="66"/>
        <v>735000</v>
      </c>
      <c r="T173" s="316">
        <v>1125000</v>
      </c>
      <c r="U173" s="353">
        <v>18500000</v>
      </c>
      <c r="V173" s="403">
        <v>1000000</v>
      </c>
      <c r="W173" s="361">
        <v>0.05</v>
      </c>
      <c r="X173" s="340">
        <v>24000</v>
      </c>
      <c r="Y173" s="43">
        <v>50</v>
      </c>
      <c r="Z173" s="48">
        <v>20</v>
      </c>
      <c r="AA173" s="48">
        <v>25</v>
      </c>
      <c r="AB173" s="50">
        <v>35</v>
      </c>
      <c r="AC173" s="345">
        <v>5000</v>
      </c>
      <c r="AD173" s="362">
        <v>1666.67</v>
      </c>
      <c r="AE173" s="292">
        <f t="shared" si="61"/>
        <v>2.999994000012</v>
      </c>
      <c r="AF173" s="46">
        <v>0</v>
      </c>
      <c r="AG173" s="48">
        <v>50</v>
      </c>
      <c r="AH173" s="48">
        <v>40</v>
      </c>
      <c r="AI173" s="47">
        <v>20</v>
      </c>
      <c r="AJ173" s="404">
        <f t="shared" si="68"/>
        <v>141500</v>
      </c>
      <c r="AK173" s="103" t="str">
        <f t="shared" si="60"/>
        <v>A</v>
      </c>
      <c r="AL173" s="862">
        <v>3750</v>
      </c>
      <c r="AM173" s="459">
        <v>230.97</v>
      </c>
      <c r="AN173" s="295">
        <f t="shared" si="62"/>
        <v>16.23587478893363</v>
      </c>
      <c r="AO173" s="405">
        <v>0</v>
      </c>
      <c r="AP173" s="406" t="s">
        <v>762</v>
      </c>
      <c r="AQ173" s="407">
        <v>0</v>
      </c>
      <c r="AR173" s="33">
        <v>86</v>
      </c>
      <c r="AS173" s="34">
        <v>0</v>
      </c>
      <c r="AT173" s="34">
        <v>0</v>
      </c>
      <c r="AU173" s="73">
        <v>0</v>
      </c>
      <c r="AV173" s="371">
        <v>960</v>
      </c>
      <c r="AW173" s="368">
        <v>70</v>
      </c>
      <c r="AX173" s="33">
        <v>0</v>
      </c>
      <c r="AY173" s="34">
        <v>0</v>
      </c>
      <c r="AZ173" s="34">
        <v>0</v>
      </c>
      <c r="BA173" s="84">
        <v>6</v>
      </c>
      <c r="BB173" s="586">
        <v>0.7</v>
      </c>
      <c r="BC173" s="590">
        <v>1.38E-08</v>
      </c>
      <c r="BD173" s="588">
        <f t="shared" si="51"/>
        <v>150.96618357487924</v>
      </c>
      <c r="BE173" s="299"/>
      <c r="BF173" s="300"/>
      <c r="BG173" s="112"/>
      <c r="BH173" s="541"/>
      <c r="BI173" s="301"/>
      <c r="BJ173" s="696" t="s">
        <v>1476</v>
      </c>
      <c r="BK173" s="13" t="s">
        <v>207</v>
      </c>
      <c r="BL173" s="303" t="s">
        <v>512</v>
      </c>
      <c r="BM173" s="86" t="s">
        <v>1283</v>
      </c>
      <c r="BN173" s="303" t="s">
        <v>104</v>
      </c>
      <c r="BO173" s="86"/>
      <c r="BP173" s="1" t="s">
        <v>133</v>
      </c>
      <c r="BR173" s="1">
        <v>1800</v>
      </c>
      <c r="BS173" s="21">
        <v>20180</v>
      </c>
      <c r="BT173" s="605"/>
      <c r="BU173" s="600" t="s">
        <v>1299</v>
      </c>
      <c r="BV173" s="600" t="s">
        <v>1299</v>
      </c>
      <c r="BW173" s="408">
        <f t="shared" si="69"/>
        <v>735000</v>
      </c>
      <c r="BX173" s="329">
        <f>IF($F173&gt;0,$BW173*$D$208,"")</f>
      </c>
      <c r="BY173" s="329">
        <f>IF($F173&gt;1,$BX173*$D$209,"")</f>
      </c>
      <c r="BZ173" s="329">
        <f>IF($F173&gt;2,$BY173*$D$210,"")</f>
      </c>
      <c r="CA173" s="329">
        <f>IF($F173&gt;3,$BZ173*$D$211,"")</f>
      </c>
      <c r="CB173" s="329">
        <f>IF($F173&gt;4,$CA173*$D$212,"")</f>
      </c>
      <c r="CC173" s="329">
        <f>IF($F173&gt;5,$CB173*$D$213,"")</f>
      </c>
      <c r="CD173" s="329">
        <f>IF($F173&gt;6,$CC173*$D$214,"")</f>
      </c>
      <c r="CE173" s="485" t="s">
        <v>1797</v>
      </c>
      <c r="CF173" s="850" t="s">
        <v>514</v>
      </c>
      <c r="CG173" s="440" t="s">
        <v>927</v>
      </c>
      <c r="CH173" s="305">
        <v>776193970</v>
      </c>
      <c r="CI173" s="305">
        <f t="shared" si="63"/>
        <v>232858191</v>
      </c>
      <c r="CJ173" s="306">
        <f t="shared" si="64"/>
        <v>543335779</v>
      </c>
      <c r="CK173" s="307" t="e">
        <f>CJ173-#REF!</f>
        <v>#REF!</v>
      </c>
      <c r="CL173" s="592">
        <v>776193970</v>
      </c>
      <c r="CM173" s="21">
        <f t="shared" si="52"/>
        <v>1</v>
      </c>
      <c r="CN173" s="21">
        <f t="shared" si="53"/>
        <v>3.3333333333333335</v>
      </c>
      <c r="CO173" s="54"/>
      <c r="CP173" s="625">
        <f t="shared" si="54"/>
        <v>130</v>
      </c>
      <c r="CQ173" s="626">
        <f t="shared" si="55"/>
        <v>110</v>
      </c>
      <c r="CR173" s="624" t="str">
        <f t="shared" si="56"/>
        <v>A</v>
      </c>
      <c r="CS173" s="634">
        <f t="shared" si="57"/>
        <v>70</v>
      </c>
      <c r="CT173" s="591">
        <f t="shared" si="67"/>
        <v>1125000000</v>
      </c>
      <c r="CU173" s="591">
        <f>CS173*1.25*1.25</f>
        <v>109.375</v>
      </c>
      <c r="CV173" s="591">
        <v>0</v>
      </c>
      <c r="CW173" s="54"/>
      <c r="CX173" s="54"/>
      <c r="CY173" s="54"/>
      <c r="CZ173" s="54"/>
      <c r="DA173" s="54">
        <v>0</v>
      </c>
      <c r="DB173" s="54">
        <v>0</v>
      </c>
      <c r="DC173" s="649">
        <f t="shared" si="58"/>
        <v>56.25</v>
      </c>
    </row>
    <row r="174" spans="1:107" ht="12.75">
      <c r="A174" s="381" t="s">
        <v>1285</v>
      </c>
      <c r="B174" s="69" t="s">
        <v>1285</v>
      </c>
      <c r="C174" s="636" t="s">
        <v>865</v>
      </c>
      <c r="D174" s="399">
        <v>18</v>
      </c>
      <c r="E174" s="410" t="s">
        <v>134</v>
      </c>
      <c r="F174" s="15">
        <v>0</v>
      </c>
      <c r="G174" s="18">
        <v>0</v>
      </c>
      <c r="H174" s="17">
        <v>0</v>
      </c>
      <c r="I174" s="16">
        <v>0</v>
      </c>
      <c r="J174" s="187">
        <v>0</v>
      </c>
      <c r="K174" s="188">
        <v>0</v>
      </c>
      <c r="L174" s="873">
        <v>1</v>
      </c>
      <c r="M174" s="886">
        <v>1</v>
      </c>
      <c r="N174" s="400">
        <v>0</v>
      </c>
      <c r="O174" s="455">
        <v>0</v>
      </c>
      <c r="P174" s="531">
        <v>0</v>
      </c>
      <c r="Q174" s="283">
        <v>106250</v>
      </c>
      <c r="R174" s="401">
        <v>785000</v>
      </c>
      <c r="S174" s="402">
        <f t="shared" si="66"/>
        <v>785000</v>
      </c>
      <c r="T174" s="316">
        <v>1200000</v>
      </c>
      <c r="U174" s="353">
        <v>16250000</v>
      </c>
      <c r="V174" s="403">
        <v>1000000</v>
      </c>
      <c r="W174" s="361">
        <v>0.043</v>
      </c>
      <c r="X174" s="340">
        <v>20000</v>
      </c>
      <c r="Y174" s="43">
        <v>50</v>
      </c>
      <c r="Z174" s="48">
        <v>10</v>
      </c>
      <c r="AA174" s="48">
        <v>25</v>
      </c>
      <c r="AB174" s="50">
        <v>45</v>
      </c>
      <c r="AC174" s="345">
        <v>6000</v>
      </c>
      <c r="AD174" s="362">
        <v>2000</v>
      </c>
      <c r="AE174" s="292">
        <f t="shared" si="61"/>
        <v>3</v>
      </c>
      <c r="AF174" s="46">
        <v>0</v>
      </c>
      <c r="AG174" s="44">
        <v>50</v>
      </c>
      <c r="AH174" s="48">
        <v>40</v>
      </c>
      <c r="AI174" s="47">
        <v>20</v>
      </c>
      <c r="AJ174" s="404">
        <f t="shared" si="68"/>
        <v>132250</v>
      </c>
      <c r="AK174" s="103" t="str">
        <f t="shared" si="60"/>
        <v>A</v>
      </c>
      <c r="AL174" s="862">
        <v>3500</v>
      </c>
      <c r="AM174" s="459">
        <v>215.58</v>
      </c>
      <c r="AN174" s="295">
        <f t="shared" si="62"/>
        <v>16.235272288709528</v>
      </c>
      <c r="AO174" s="405">
        <v>0</v>
      </c>
      <c r="AP174" s="406" t="s">
        <v>762</v>
      </c>
      <c r="AQ174" s="407">
        <v>0</v>
      </c>
      <c r="AR174" s="33">
        <v>0</v>
      </c>
      <c r="AS174" s="34">
        <v>96</v>
      </c>
      <c r="AT174" s="34">
        <v>0</v>
      </c>
      <c r="AU174" s="73">
        <v>0</v>
      </c>
      <c r="AV174" s="371">
        <v>1000</v>
      </c>
      <c r="AW174" s="368">
        <v>60</v>
      </c>
      <c r="AX174" s="33">
        <v>0</v>
      </c>
      <c r="AY174" s="34">
        <v>0</v>
      </c>
      <c r="AZ174" s="34">
        <v>0</v>
      </c>
      <c r="BA174" s="84">
        <v>6</v>
      </c>
      <c r="BB174" s="586">
        <v>0.7</v>
      </c>
      <c r="BC174" s="590">
        <v>1.38E-08</v>
      </c>
      <c r="BD174" s="588">
        <f t="shared" si="51"/>
        <v>132.09541062801932</v>
      </c>
      <c r="BE174" s="299"/>
      <c r="BF174" s="300"/>
      <c r="BG174" s="112"/>
      <c r="BH174" s="541"/>
      <c r="BI174" s="301"/>
      <c r="BJ174" s="696" t="s">
        <v>1476</v>
      </c>
      <c r="BK174" s="13" t="s">
        <v>207</v>
      </c>
      <c r="BL174" s="303" t="s">
        <v>824</v>
      </c>
      <c r="BM174" s="86" t="s">
        <v>818</v>
      </c>
      <c r="BN174" s="303" t="s">
        <v>104</v>
      </c>
      <c r="BO174" s="86"/>
      <c r="BP174" s="1" t="s">
        <v>819</v>
      </c>
      <c r="BR174" s="1">
        <v>1600</v>
      </c>
      <c r="BS174" s="21">
        <v>20185</v>
      </c>
      <c r="BT174" s="605"/>
      <c r="BU174" s="600" t="s">
        <v>1299</v>
      </c>
      <c r="BV174" s="600" t="s">
        <v>1299</v>
      </c>
      <c r="BW174" s="408">
        <f t="shared" si="69"/>
        <v>785000</v>
      </c>
      <c r="BX174" s="329">
        <f>IF($F174&gt;0,$BW174*$D$208,"")</f>
      </c>
      <c r="BY174" s="329">
        <f>IF($F174&gt;1,$BX174*$D$209,"")</f>
      </c>
      <c r="BZ174" s="329">
        <f>IF($F174&gt;2,$BY174*$D$210,"")</f>
      </c>
      <c r="CA174" s="329">
        <f>IF($F174&gt;3,$BZ174*$D$211,"")</f>
      </c>
      <c r="CB174" s="329">
        <f>IF($F174&gt;4,$CA174*$D$212,"")</f>
      </c>
      <c r="CC174" s="329">
        <f>IF($F174&gt;5,$CB174*$D$213,"")</f>
      </c>
      <c r="CD174" s="329">
        <f>IF($F174&gt;6,$CC174*$D$214,"")</f>
      </c>
      <c r="CE174" s="485" t="s">
        <v>305</v>
      </c>
      <c r="CF174" s="850" t="s">
        <v>514</v>
      </c>
      <c r="CG174" s="440" t="s">
        <v>928</v>
      </c>
      <c r="CH174" s="305">
        <v>773899062</v>
      </c>
      <c r="CI174" s="305">
        <f t="shared" si="63"/>
        <v>232169718.6</v>
      </c>
      <c r="CJ174" s="306">
        <f t="shared" si="64"/>
        <v>541729343.4</v>
      </c>
      <c r="CK174" s="307" t="e">
        <f>CJ174-#REF!</f>
        <v>#REF!</v>
      </c>
      <c r="CL174" s="591">
        <v>773899062</v>
      </c>
      <c r="CM174" s="21">
        <f t="shared" si="52"/>
        <v>1</v>
      </c>
      <c r="CN174" s="21">
        <f t="shared" si="53"/>
        <v>3.3333333333333335</v>
      </c>
      <c r="CO174" s="54"/>
      <c r="CP174" s="625">
        <f t="shared" si="54"/>
        <v>130</v>
      </c>
      <c r="CQ174" s="626">
        <f t="shared" si="55"/>
        <v>110</v>
      </c>
      <c r="CR174" s="624" t="str">
        <f t="shared" si="56"/>
        <v>A</v>
      </c>
      <c r="CS174" s="634">
        <f t="shared" si="57"/>
        <v>60</v>
      </c>
      <c r="CT174" s="591">
        <f t="shared" si="67"/>
        <v>1200000000</v>
      </c>
      <c r="CU174" s="591">
        <f>CS174*1.25*1.25</f>
        <v>93.75</v>
      </c>
      <c r="CV174" s="591">
        <v>0</v>
      </c>
      <c r="CW174" s="54"/>
      <c r="CX174" s="54"/>
      <c r="CY174" s="54"/>
      <c r="CZ174" s="54"/>
      <c r="DA174" s="54">
        <v>0</v>
      </c>
      <c r="DB174" s="54">
        <v>0</v>
      </c>
      <c r="DC174" s="649">
        <f t="shared" si="58"/>
        <v>51.599999999999994</v>
      </c>
    </row>
    <row r="175" spans="1:107" ht="12.75">
      <c r="A175" s="381" t="s">
        <v>821</v>
      </c>
      <c r="B175" s="69" t="s">
        <v>821</v>
      </c>
      <c r="C175" s="315" t="s">
        <v>1042</v>
      </c>
      <c r="D175" s="399">
        <v>18</v>
      </c>
      <c r="E175" s="410" t="s">
        <v>134</v>
      </c>
      <c r="F175" s="15">
        <v>0</v>
      </c>
      <c r="G175" s="18">
        <v>0</v>
      </c>
      <c r="H175" s="17">
        <v>0</v>
      </c>
      <c r="I175" s="16">
        <v>0</v>
      </c>
      <c r="J175" s="187">
        <v>0</v>
      </c>
      <c r="K175" s="188">
        <v>0</v>
      </c>
      <c r="L175" s="873">
        <v>1</v>
      </c>
      <c r="M175" s="886">
        <v>1</v>
      </c>
      <c r="N175" s="400">
        <v>0</v>
      </c>
      <c r="O175" s="455">
        <v>0</v>
      </c>
      <c r="P175" s="531">
        <v>0</v>
      </c>
      <c r="Q175" s="283">
        <v>120000</v>
      </c>
      <c r="R175" s="401">
        <v>750000</v>
      </c>
      <c r="S175" s="402">
        <f t="shared" si="66"/>
        <v>750000</v>
      </c>
      <c r="T175" s="316">
        <v>1175000</v>
      </c>
      <c r="U175" s="353">
        <v>17550000</v>
      </c>
      <c r="V175" s="403">
        <v>1000000</v>
      </c>
      <c r="W175" s="361">
        <v>0.05</v>
      </c>
      <c r="X175" s="340">
        <v>22500</v>
      </c>
      <c r="Y175" s="43">
        <v>50</v>
      </c>
      <c r="Z175" s="48">
        <v>10</v>
      </c>
      <c r="AA175" s="48">
        <v>35</v>
      </c>
      <c r="AB175" s="50">
        <v>35</v>
      </c>
      <c r="AC175" s="345">
        <v>5313</v>
      </c>
      <c r="AD175" s="362">
        <v>1770.83</v>
      </c>
      <c r="AE175" s="292">
        <f t="shared" si="61"/>
        <v>3.0002880005421186</v>
      </c>
      <c r="AF175" s="46">
        <v>0</v>
      </c>
      <c r="AG175" s="44">
        <v>50</v>
      </c>
      <c r="AH175" s="48">
        <v>40</v>
      </c>
      <c r="AI175" s="47">
        <v>20</v>
      </c>
      <c r="AJ175" s="404">
        <f t="shared" si="68"/>
        <v>147813</v>
      </c>
      <c r="AK175" s="103" t="str">
        <f t="shared" si="60"/>
        <v>A</v>
      </c>
      <c r="AL175" s="862">
        <v>3500</v>
      </c>
      <c r="AM175" s="459">
        <v>215.58</v>
      </c>
      <c r="AN175" s="295">
        <f t="shared" si="62"/>
        <v>16.235272288709528</v>
      </c>
      <c r="AO175" s="405">
        <v>0</v>
      </c>
      <c r="AP175" s="406" t="s">
        <v>762</v>
      </c>
      <c r="AQ175" s="407">
        <v>0</v>
      </c>
      <c r="AR175" s="33">
        <v>0</v>
      </c>
      <c r="AS175" s="34">
        <v>0</v>
      </c>
      <c r="AT175" s="34">
        <v>91</v>
      </c>
      <c r="AU175" s="73">
        <v>0</v>
      </c>
      <c r="AV175" s="371">
        <v>985</v>
      </c>
      <c r="AW175" s="368">
        <v>65</v>
      </c>
      <c r="AX175" s="33">
        <v>0</v>
      </c>
      <c r="AY175" s="34">
        <v>0</v>
      </c>
      <c r="AZ175" s="34">
        <v>0</v>
      </c>
      <c r="BA175" s="84">
        <v>6</v>
      </c>
      <c r="BB175" s="586">
        <v>0.7</v>
      </c>
      <c r="BC175" s="590">
        <v>1.38E-08</v>
      </c>
      <c r="BD175" s="588">
        <f t="shared" si="51"/>
        <v>134.9059512796793</v>
      </c>
      <c r="BE175" s="299"/>
      <c r="BF175" s="300"/>
      <c r="BG175" s="112"/>
      <c r="BH175" s="541"/>
      <c r="BI175" s="301"/>
      <c r="BJ175" s="696" t="s">
        <v>1476</v>
      </c>
      <c r="BK175" s="13" t="s">
        <v>207</v>
      </c>
      <c r="BL175" s="303" t="s">
        <v>117</v>
      </c>
      <c r="BM175" s="86" t="s">
        <v>810</v>
      </c>
      <c r="BN175" s="303" t="s">
        <v>104</v>
      </c>
      <c r="BO175" s="86"/>
      <c r="BP175" s="1" t="s">
        <v>811</v>
      </c>
      <c r="BR175" s="1">
        <v>1200</v>
      </c>
      <c r="BS175" s="21">
        <v>20187</v>
      </c>
      <c r="BT175" s="605"/>
      <c r="BU175" s="600" t="s">
        <v>1299</v>
      </c>
      <c r="BV175" s="600" t="s">
        <v>1299</v>
      </c>
      <c r="BW175" s="408">
        <f t="shared" si="69"/>
        <v>750000</v>
      </c>
      <c r="BX175" s="329">
        <f>IF($F175&gt;0,$BW175*$D$208,"")</f>
      </c>
      <c r="BY175" s="329">
        <f>IF($F175&gt;1,$BX175*$D$209,"")</f>
      </c>
      <c r="BZ175" s="329">
        <f>IF($F175&gt;2,$BY175*$D$210,"")</f>
      </c>
      <c r="CA175" s="329">
        <f>IF($F175&gt;3,$BZ175*$D$211,"")</f>
      </c>
      <c r="CB175" s="329">
        <f>IF($F175&gt;4,$CA175*$D$212,"")</f>
      </c>
      <c r="CC175" s="329">
        <f>IF($F175&gt;5,$CB175*$D$213,"")</f>
      </c>
      <c r="CD175" s="329">
        <f>IF($F175&gt;6,$CC175*$D$214,"")</f>
      </c>
      <c r="CE175" s="485" t="s">
        <v>308</v>
      </c>
      <c r="CF175" s="850" t="s">
        <v>514</v>
      </c>
      <c r="CG175" s="440" t="s">
        <v>1049</v>
      </c>
      <c r="CH175" s="305">
        <v>769286366</v>
      </c>
      <c r="CI175" s="305">
        <f t="shared" si="63"/>
        <v>230785909.79999998</v>
      </c>
      <c r="CJ175" s="306">
        <f t="shared" si="64"/>
        <v>538500456.2</v>
      </c>
      <c r="CK175" s="307" t="e">
        <f>CJ175-#REF!</f>
        <v>#REF!</v>
      </c>
      <c r="CL175" s="591">
        <v>769286366</v>
      </c>
      <c r="CM175" s="21">
        <f t="shared" si="52"/>
        <v>1</v>
      </c>
      <c r="CN175" s="21">
        <f t="shared" si="53"/>
        <v>3.3333333333333335</v>
      </c>
      <c r="CO175" s="54"/>
      <c r="CP175" s="625">
        <f t="shared" si="54"/>
        <v>130</v>
      </c>
      <c r="CQ175" s="626">
        <f t="shared" si="55"/>
        <v>110</v>
      </c>
      <c r="CR175" s="624" t="str">
        <f t="shared" si="56"/>
        <v>A</v>
      </c>
      <c r="CS175" s="634">
        <f t="shared" si="57"/>
        <v>65</v>
      </c>
      <c r="CT175" s="591">
        <f t="shared" si="67"/>
        <v>1175000000</v>
      </c>
      <c r="CU175" s="591">
        <f aca="true" t="shared" si="70" ref="CU175:CU186">CS175*1.25*1.25</f>
        <v>101.5625</v>
      </c>
      <c r="CV175" s="591">
        <v>0</v>
      </c>
      <c r="CW175" s="54"/>
      <c r="CX175" s="54"/>
      <c r="CY175" s="54"/>
      <c r="CZ175" s="54"/>
      <c r="DA175" s="54">
        <v>0</v>
      </c>
      <c r="DB175" s="54">
        <v>0</v>
      </c>
      <c r="DC175" s="649">
        <f t="shared" si="58"/>
        <v>58.75</v>
      </c>
    </row>
    <row r="176" spans="1:107" ht="12.75">
      <c r="A176" s="381" t="s">
        <v>813</v>
      </c>
      <c r="B176" s="69" t="s">
        <v>813</v>
      </c>
      <c r="C176" s="319" t="s">
        <v>99</v>
      </c>
      <c r="D176" s="399">
        <v>18</v>
      </c>
      <c r="E176" s="410" t="s">
        <v>134</v>
      </c>
      <c r="F176" s="15">
        <v>0</v>
      </c>
      <c r="G176" s="18">
        <v>0</v>
      </c>
      <c r="H176" s="17">
        <v>0</v>
      </c>
      <c r="I176" s="16">
        <v>0</v>
      </c>
      <c r="J176" s="187">
        <v>0</v>
      </c>
      <c r="K176" s="188">
        <v>0</v>
      </c>
      <c r="L176" s="873">
        <v>1</v>
      </c>
      <c r="M176" s="886">
        <v>1</v>
      </c>
      <c r="N176" s="400">
        <v>0</v>
      </c>
      <c r="O176" s="455">
        <v>0</v>
      </c>
      <c r="P176" s="531">
        <v>0</v>
      </c>
      <c r="Q176" s="283">
        <v>100000</v>
      </c>
      <c r="R176" s="401">
        <v>720000</v>
      </c>
      <c r="S176" s="402">
        <f t="shared" si="66"/>
        <v>720000</v>
      </c>
      <c r="T176" s="316">
        <v>1025000</v>
      </c>
      <c r="U176" s="353">
        <v>15500000</v>
      </c>
      <c r="V176" s="403">
        <v>1000000</v>
      </c>
      <c r="W176" s="361">
        <v>0.05</v>
      </c>
      <c r="X176" s="340">
        <v>21250</v>
      </c>
      <c r="Y176" s="46">
        <v>60</v>
      </c>
      <c r="Z176" s="48">
        <v>10</v>
      </c>
      <c r="AA176" s="48">
        <v>25</v>
      </c>
      <c r="AB176" s="50">
        <v>35</v>
      </c>
      <c r="AC176" s="345">
        <v>5625</v>
      </c>
      <c r="AD176" s="362">
        <v>1875</v>
      </c>
      <c r="AE176" s="292">
        <f t="shared" si="61"/>
        <v>3</v>
      </c>
      <c r="AF176" s="46">
        <v>0</v>
      </c>
      <c r="AG176" s="44">
        <v>50</v>
      </c>
      <c r="AH176" s="48">
        <v>40</v>
      </c>
      <c r="AI176" s="47">
        <v>20</v>
      </c>
      <c r="AJ176" s="404">
        <f t="shared" si="68"/>
        <v>126875</v>
      </c>
      <c r="AK176" s="103" t="str">
        <f t="shared" si="60"/>
        <v>A</v>
      </c>
      <c r="AL176" s="862">
        <v>3000</v>
      </c>
      <c r="AM176" s="459">
        <v>184.78</v>
      </c>
      <c r="AN176" s="295">
        <f t="shared" si="62"/>
        <v>16.235523325035178</v>
      </c>
      <c r="AO176" s="405">
        <v>0</v>
      </c>
      <c r="AP176" s="406" t="s">
        <v>762</v>
      </c>
      <c r="AQ176" s="407">
        <v>0</v>
      </c>
      <c r="AR176" s="33">
        <v>0</v>
      </c>
      <c r="AS176" s="34">
        <v>0</v>
      </c>
      <c r="AT176" s="34">
        <v>0</v>
      </c>
      <c r="AU176" s="73">
        <v>82</v>
      </c>
      <c r="AV176" s="371">
        <v>925</v>
      </c>
      <c r="AW176" s="368">
        <v>80</v>
      </c>
      <c r="AX176" s="33">
        <v>0</v>
      </c>
      <c r="AY176" s="34">
        <v>0</v>
      </c>
      <c r="AZ176" s="34">
        <v>0</v>
      </c>
      <c r="BA176" s="84">
        <v>6</v>
      </c>
      <c r="BB176" s="586">
        <v>0.7</v>
      </c>
      <c r="BC176" s="590">
        <v>1.38E-08</v>
      </c>
      <c r="BD176" s="588">
        <f t="shared" si="51"/>
        <v>132.5556733828208</v>
      </c>
      <c r="BE176" s="299"/>
      <c r="BF176" s="300"/>
      <c r="BG176" s="112"/>
      <c r="BH176" s="541"/>
      <c r="BI176" s="301"/>
      <c r="BJ176" s="696" t="s">
        <v>1476</v>
      </c>
      <c r="BK176" s="13" t="s">
        <v>207</v>
      </c>
      <c r="BL176" s="303" t="s">
        <v>736</v>
      </c>
      <c r="BM176" s="86" t="s">
        <v>1234</v>
      </c>
      <c r="BN176" s="303" t="s">
        <v>104</v>
      </c>
      <c r="BO176" s="86"/>
      <c r="BP176" s="1" t="s">
        <v>782</v>
      </c>
      <c r="BR176" s="1">
        <v>1400</v>
      </c>
      <c r="BS176" s="21">
        <v>20189</v>
      </c>
      <c r="BT176" s="605"/>
      <c r="BU176" s="600" t="s">
        <v>1299</v>
      </c>
      <c r="BV176" s="600" t="s">
        <v>1299</v>
      </c>
      <c r="BW176" s="408">
        <f t="shared" si="69"/>
        <v>720000</v>
      </c>
      <c r="BX176" s="329">
        <f>IF($F176&gt;0,$BW176*$D$208,"")</f>
      </c>
      <c r="BY176" s="329">
        <f>IF($F176&gt;1,$BX176*$D$209,"")</f>
      </c>
      <c r="BZ176" s="329">
        <f>IF($F176&gt;2,$BY176*$D$210,"")</f>
      </c>
      <c r="CA176" s="329">
        <f>IF($F176&gt;3,$BZ176*$D$211,"")</f>
      </c>
      <c r="CB176" s="329">
        <f>IF($F176&gt;4,$CA176*$D$212,"")</f>
      </c>
      <c r="CC176" s="329">
        <f>IF($F176&gt;5,$CB176*$D$213,"")</f>
      </c>
      <c r="CD176" s="329">
        <f>IF($F176&gt;6,$CC176*$D$214,"")</f>
      </c>
      <c r="CE176" s="485" t="s">
        <v>1068</v>
      </c>
      <c r="CF176" s="850" t="s">
        <v>514</v>
      </c>
      <c r="CG176" s="440" t="s">
        <v>953</v>
      </c>
      <c r="CH176" s="305">
        <v>768064978</v>
      </c>
      <c r="CI176" s="305">
        <f t="shared" si="63"/>
        <v>230419493.4</v>
      </c>
      <c r="CJ176" s="306">
        <f t="shared" si="64"/>
        <v>537645484.6</v>
      </c>
      <c r="CK176" s="307" t="e">
        <f>CJ176-#REF!</f>
        <v>#REF!</v>
      </c>
      <c r="CL176" s="591">
        <v>768064978</v>
      </c>
      <c r="CM176" s="21">
        <f t="shared" si="52"/>
        <v>1</v>
      </c>
      <c r="CN176" s="21">
        <f t="shared" si="53"/>
        <v>3.333333333333333</v>
      </c>
      <c r="CO176" s="54"/>
      <c r="CP176" s="625">
        <f t="shared" si="54"/>
        <v>130</v>
      </c>
      <c r="CQ176" s="626">
        <f t="shared" si="55"/>
        <v>110</v>
      </c>
      <c r="CR176" s="624" t="str">
        <f t="shared" si="56"/>
        <v>A</v>
      </c>
      <c r="CS176" s="634">
        <f t="shared" si="57"/>
        <v>80</v>
      </c>
      <c r="CT176" s="591">
        <f t="shared" si="67"/>
        <v>1025000000</v>
      </c>
      <c r="CU176" s="591">
        <f t="shared" si="70"/>
        <v>125</v>
      </c>
      <c r="CV176" s="591">
        <v>0</v>
      </c>
      <c r="CW176" s="54"/>
      <c r="CX176" s="54"/>
      <c r="CY176" s="54"/>
      <c r="CZ176" s="54"/>
      <c r="DA176" s="54">
        <v>0</v>
      </c>
      <c r="DB176" s="54">
        <v>0</v>
      </c>
      <c r="DC176" s="649">
        <f t="shared" si="58"/>
        <v>51.25</v>
      </c>
    </row>
    <row r="177" spans="1:107" ht="12.75">
      <c r="A177" s="24" t="s">
        <v>1448</v>
      </c>
      <c r="B177" s="117" t="s">
        <v>1449</v>
      </c>
      <c r="C177" s="308" t="s">
        <v>827</v>
      </c>
      <c r="D177" s="409">
        <v>17</v>
      </c>
      <c r="E177" s="539" t="s">
        <v>207</v>
      </c>
      <c r="F177" s="15">
        <v>7</v>
      </c>
      <c r="G177" s="18">
        <v>1</v>
      </c>
      <c r="H177" s="17">
        <v>1</v>
      </c>
      <c r="I177" s="16">
        <v>0</v>
      </c>
      <c r="J177" s="187">
        <v>0</v>
      </c>
      <c r="K177" s="188">
        <v>2</v>
      </c>
      <c r="L177" s="867">
        <v>175</v>
      </c>
      <c r="M177" s="883">
        <v>250</v>
      </c>
      <c r="N177" s="339">
        <v>400</v>
      </c>
      <c r="O177" s="455">
        <v>0</v>
      </c>
      <c r="P177" s="531">
        <v>0</v>
      </c>
      <c r="Q177" s="340">
        <v>4500</v>
      </c>
      <c r="R177" s="375">
        <v>4000</v>
      </c>
      <c r="S177" s="376">
        <f t="shared" si="66"/>
        <v>21909.440377221676</v>
      </c>
      <c r="T177" s="352">
        <v>19000</v>
      </c>
      <c r="U177" s="359">
        <v>300000</v>
      </c>
      <c r="V177" s="360">
        <v>20000</v>
      </c>
      <c r="W177" s="361">
        <v>1</v>
      </c>
      <c r="X177" s="913">
        <v>4219</v>
      </c>
      <c r="Y177" s="46">
        <v>50</v>
      </c>
      <c r="Z177" s="48">
        <v>80</v>
      </c>
      <c r="AA177" s="48">
        <v>62.5</v>
      </c>
      <c r="AB177" s="50">
        <v>35</v>
      </c>
      <c r="AC177" s="345">
        <v>2109</v>
      </c>
      <c r="AD177" s="362">
        <v>1250</v>
      </c>
      <c r="AE177" s="292">
        <f t="shared" si="61"/>
        <v>1.6872</v>
      </c>
      <c r="AF177" s="46">
        <v>0</v>
      </c>
      <c r="AG177" s="48">
        <v>87.5</v>
      </c>
      <c r="AH177" s="48">
        <v>70</v>
      </c>
      <c r="AI177" s="47">
        <v>20</v>
      </c>
      <c r="AJ177" s="411">
        <f t="shared" si="68"/>
        <v>10828</v>
      </c>
      <c r="AK177" s="103" t="str">
        <f t="shared" si="60"/>
        <v>A</v>
      </c>
      <c r="AL177" s="862">
        <v>1250</v>
      </c>
      <c r="AM177" s="459">
        <v>312.5</v>
      </c>
      <c r="AN177" s="295">
        <f t="shared" si="62"/>
        <v>4</v>
      </c>
      <c r="AO177" s="145">
        <v>45</v>
      </c>
      <c r="AP177" s="313" t="s">
        <v>467</v>
      </c>
      <c r="AQ177" s="370">
        <v>205</v>
      </c>
      <c r="AR177" s="33">
        <v>16</v>
      </c>
      <c r="AS177" s="34">
        <v>0</v>
      </c>
      <c r="AT177" s="34">
        <v>0</v>
      </c>
      <c r="AU177" s="73">
        <v>0</v>
      </c>
      <c r="AV177" s="371">
        <v>160</v>
      </c>
      <c r="AW177" s="368">
        <v>80</v>
      </c>
      <c r="AX177" s="33">
        <v>9</v>
      </c>
      <c r="AY177" s="34">
        <v>0</v>
      </c>
      <c r="AZ177" s="34">
        <v>0</v>
      </c>
      <c r="BA177" s="84">
        <v>0</v>
      </c>
      <c r="BB177" s="586">
        <v>3</v>
      </c>
      <c r="BC177" s="590">
        <v>1.08911E-07</v>
      </c>
      <c r="BD177" s="588">
        <f t="shared" si="51"/>
        <v>377.5414884872196</v>
      </c>
      <c r="BE177" s="299"/>
      <c r="BF177" s="300"/>
      <c r="BG177" s="112"/>
      <c r="BH177" s="541"/>
      <c r="BI177" s="301"/>
      <c r="BJ177" s="346" t="s">
        <v>1401</v>
      </c>
      <c r="BK177" s="13" t="s">
        <v>207</v>
      </c>
      <c r="BL177" s="303" t="s">
        <v>1138</v>
      </c>
      <c r="BM177" s="86" t="s">
        <v>995</v>
      </c>
      <c r="BN177" s="303" t="s">
        <v>1174</v>
      </c>
      <c r="BO177" s="86"/>
      <c r="BP177" s="1" t="s">
        <v>609</v>
      </c>
      <c r="BR177" s="1">
        <v>800</v>
      </c>
      <c r="BS177" s="21">
        <v>12753</v>
      </c>
      <c r="BT177" s="605"/>
      <c r="BU177" s="600">
        <v>0</v>
      </c>
      <c r="BV177" s="600">
        <v>0</v>
      </c>
      <c r="BW177" s="412">
        <f aca="true" t="shared" si="71" ref="BW177:BW196">$R177+IF(AND($C177="Amarr",$D177&lt;20),($R177*0.05*$G$208),IF(AND($C177="Caldari",$D177&lt;20),($R177*0.05*$G$209),IF(AND($C177="Gallente",$D177&lt;20),($R177*0.05*$G$210),IF(AND($C177="Minmatar",$D177&lt;20),($R177*0.05*$G$211),""))))</f>
        <v>4000</v>
      </c>
      <c r="BX177" s="329">
        <f>IF($F177&gt;0,$BW177*$D$208,"")</f>
        <v>5100</v>
      </c>
      <c r="BY177" s="329">
        <f>IF($F177&gt;1,$BX177*$D$209,"")</f>
        <v>6502.5</v>
      </c>
      <c r="BZ177" s="329">
        <f>IF($F177&gt;2,$BY177*$D$210,"")</f>
        <v>8290.6875</v>
      </c>
      <c r="CA177" s="329">
        <f>IF($F177&gt;3,$BZ177*$D$211,"")</f>
        <v>10570.6265625</v>
      </c>
      <c r="CB177" s="329">
        <f>IF($F177&gt;4,$CA177*$D$212,"")</f>
        <v>13477.5488671875</v>
      </c>
      <c r="CC177" s="329">
        <f>IF($F177&gt;5,$CB177*$D$213,"")</f>
        <v>17183.87480566406</v>
      </c>
      <c r="CD177" s="329">
        <f>IF($F177&gt;6,$CC177*$D$214,"")</f>
        <v>21909.440377221676</v>
      </c>
      <c r="CE177" s="485" t="s">
        <v>1037</v>
      </c>
      <c r="CF177" s="850" t="s">
        <v>585</v>
      </c>
      <c r="CG177" s="440" t="s">
        <v>830</v>
      </c>
      <c r="CH177" s="305">
        <v>13278594</v>
      </c>
      <c r="CI177" s="305">
        <f t="shared" si="63"/>
        <v>3983578.1999999997</v>
      </c>
      <c r="CJ177" s="306">
        <f t="shared" si="64"/>
        <v>9295015.8</v>
      </c>
      <c r="CK177" s="307" t="e">
        <f>CJ177-#REF!</f>
        <v>#REF!</v>
      </c>
      <c r="CL177" s="592">
        <v>13278594</v>
      </c>
      <c r="CM177" s="21">
        <f t="shared" si="52"/>
        <v>1</v>
      </c>
      <c r="CN177" s="21">
        <f t="shared" si="53"/>
        <v>3.3333333333333335</v>
      </c>
      <c r="CO177" s="54"/>
      <c r="CP177" s="625">
        <f t="shared" si="54"/>
        <v>227.5</v>
      </c>
      <c r="CQ177" s="626">
        <f t="shared" si="55"/>
        <v>177.5</v>
      </c>
      <c r="CR177" s="624" t="str">
        <f t="shared" si="56"/>
        <v>A</v>
      </c>
      <c r="CS177" s="634">
        <f t="shared" si="57"/>
        <v>80</v>
      </c>
      <c r="CT177" s="591">
        <f t="shared" si="67"/>
        <v>19000000</v>
      </c>
      <c r="CU177" s="591">
        <f t="shared" si="70"/>
        <v>125</v>
      </c>
      <c r="CV177" s="591">
        <v>15000</v>
      </c>
      <c r="CW177" s="54"/>
      <c r="CX177" s="54">
        <v>257</v>
      </c>
      <c r="CY177" s="54"/>
      <c r="CZ177" s="54">
        <v>613</v>
      </c>
      <c r="DA177" s="54">
        <v>1.6875</v>
      </c>
      <c r="DB177" s="54">
        <v>6.25</v>
      </c>
      <c r="DC177" s="649">
        <f t="shared" si="58"/>
        <v>19</v>
      </c>
    </row>
    <row r="178" spans="1:107" ht="12.75">
      <c r="A178" s="24" t="s">
        <v>611</v>
      </c>
      <c r="B178" s="69" t="s">
        <v>611</v>
      </c>
      <c r="C178" s="636" t="s">
        <v>865</v>
      </c>
      <c r="D178" s="409">
        <v>17</v>
      </c>
      <c r="E178" s="539" t="s">
        <v>207</v>
      </c>
      <c r="F178" s="15">
        <v>5</v>
      </c>
      <c r="G178" s="18">
        <v>3</v>
      </c>
      <c r="H178" s="17">
        <v>1</v>
      </c>
      <c r="I178" s="16">
        <v>0</v>
      </c>
      <c r="J178" s="187">
        <v>0</v>
      </c>
      <c r="K178" s="188">
        <v>2</v>
      </c>
      <c r="L178" s="867">
        <v>250</v>
      </c>
      <c r="M178" s="883">
        <v>200</v>
      </c>
      <c r="N178" s="339">
        <v>400</v>
      </c>
      <c r="O178" s="455">
        <v>0</v>
      </c>
      <c r="P178" s="531">
        <v>0</v>
      </c>
      <c r="Q178" s="340">
        <v>3938</v>
      </c>
      <c r="R178" s="375">
        <v>5500</v>
      </c>
      <c r="S178" s="376">
        <f t="shared" si="66"/>
        <v>18531.629692382805</v>
      </c>
      <c r="T178" s="352">
        <v>20000</v>
      </c>
      <c r="U178" s="359">
        <v>290000</v>
      </c>
      <c r="V178" s="360">
        <v>20000</v>
      </c>
      <c r="W178" s="361">
        <v>0.93</v>
      </c>
      <c r="X178" s="340">
        <v>2391</v>
      </c>
      <c r="Y178" s="46">
        <v>50</v>
      </c>
      <c r="Z178" s="48">
        <v>10</v>
      </c>
      <c r="AA178" s="48">
        <v>62.5</v>
      </c>
      <c r="AB178" s="50">
        <v>86.25</v>
      </c>
      <c r="AC178" s="914">
        <v>3516</v>
      </c>
      <c r="AD178" s="362">
        <v>1250</v>
      </c>
      <c r="AE178" s="292">
        <f t="shared" si="61"/>
        <v>2.8128</v>
      </c>
      <c r="AF178" s="46">
        <v>0</v>
      </c>
      <c r="AG178" s="48">
        <v>50</v>
      </c>
      <c r="AH178" s="48">
        <v>70</v>
      </c>
      <c r="AI178" s="47">
        <v>80</v>
      </c>
      <c r="AJ178" s="411">
        <f t="shared" si="68"/>
        <v>9845</v>
      </c>
      <c r="AK178" s="103" t="str">
        <f t="shared" si="60"/>
        <v>S</v>
      </c>
      <c r="AL178" s="862">
        <v>1093</v>
      </c>
      <c r="AM178" s="459">
        <v>268.75</v>
      </c>
      <c r="AN178" s="295">
        <f t="shared" si="62"/>
        <v>4.0669767441860465</v>
      </c>
      <c r="AO178" s="145">
        <v>55</v>
      </c>
      <c r="AP178" s="313" t="s">
        <v>467</v>
      </c>
      <c r="AQ178" s="370">
        <v>195</v>
      </c>
      <c r="AR178" s="33">
        <v>0</v>
      </c>
      <c r="AS178" s="34">
        <v>20</v>
      </c>
      <c r="AT178" s="34">
        <v>0</v>
      </c>
      <c r="AU178" s="73">
        <v>0</v>
      </c>
      <c r="AV178" s="371">
        <v>165</v>
      </c>
      <c r="AW178" s="368">
        <v>80</v>
      </c>
      <c r="AX178" s="33">
        <v>0</v>
      </c>
      <c r="AY178" s="34">
        <v>8</v>
      </c>
      <c r="AZ178" s="34">
        <v>0</v>
      </c>
      <c r="BA178" s="84">
        <v>0</v>
      </c>
      <c r="BB178" s="586">
        <v>3</v>
      </c>
      <c r="BC178" s="590">
        <v>1.08911E-07</v>
      </c>
      <c r="BD178" s="588">
        <f t="shared" si="51"/>
        <v>313.61616365656363</v>
      </c>
      <c r="BE178" s="299"/>
      <c r="BF178" s="300"/>
      <c r="BG178" s="112"/>
      <c r="BH178" s="541"/>
      <c r="BI178" s="301"/>
      <c r="BJ178" s="346" t="s">
        <v>1401</v>
      </c>
      <c r="BK178" s="13" t="s">
        <v>207</v>
      </c>
      <c r="BL178" s="303" t="s">
        <v>826</v>
      </c>
      <c r="BM178" s="86" t="s">
        <v>995</v>
      </c>
      <c r="BN178" s="303" t="s">
        <v>1229</v>
      </c>
      <c r="BO178" s="86"/>
      <c r="BP178" s="1" t="s">
        <v>612</v>
      </c>
      <c r="BQ178" t="s">
        <v>613</v>
      </c>
      <c r="BR178" s="1">
        <v>626</v>
      </c>
      <c r="BS178" s="21">
        <v>12731</v>
      </c>
      <c r="BT178" s="605"/>
      <c r="BU178" s="600">
        <v>0</v>
      </c>
      <c r="BV178" s="600">
        <v>0</v>
      </c>
      <c r="BW178" s="412">
        <f t="shared" si="71"/>
        <v>5500</v>
      </c>
      <c r="BX178" s="329">
        <f>IF($F178&gt;0,$BW178*$D$208,"")</f>
        <v>7012.499999999999</v>
      </c>
      <c r="BY178" s="329">
        <f>IF($F178&gt;1,$BX178*$D$209,"")</f>
        <v>8940.937499999998</v>
      </c>
      <c r="BZ178" s="329">
        <f>IF($F178&gt;2,$BY178*$D$210,"")</f>
        <v>11399.695312499996</v>
      </c>
      <c r="CA178" s="329">
        <f>IF($F178&gt;3,$BZ178*$D$211,"")</f>
        <v>14534.611523437494</v>
      </c>
      <c r="CB178" s="329">
        <f>IF($F178&gt;4,$CA178*$D$212,"")</f>
        <v>18531.629692382805</v>
      </c>
      <c r="CC178" s="329">
        <f>IF($F178&gt;5,$CB178*$D$213,"")</f>
      </c>
      <c r="CD178" s="329">
        <f>IF($F178&gt;6,$CC178*$D$214,"")</f>
      </c>
      <c r="CE178" s="485" t="s">
        <v>1707</v>
      </c>
      <c r="CF178" s="850" t="s">
        <v>585</v>
      </c>
      <c r="CG178" s="440" t="s">
        <v>831</v>
      </c>
      <c r="CH178" s="305">
        <v>8088028</v>
      </c>
      <c r="CI178" s="305">
        <f t="shared" si="63"/>
        <v>2426408.4</v>
      </c>
      <c r="CJ178" s="306">
        <f t="shared" si="64"/>
        <v>5661619.6</v>
      </c>
      <c r="CK178" s="307" t="e">
        <f>CJ178-#REF!</f>
        <v>#REF!</v>
      </c>
      <c r="CL178" s="592">
        <v>13300510</v>
      </c>
      <c r="CM178" s="21">
        <f t="shared" si="52"/>
        <v>1.6444688371504155</v>
      </c>
      <c r="CN178" s="21">
        <f t="shared" si="53"/>
        <v>5.481562790501385</v>
      </c>
      <c r="CO178" s="54"/>
      <c r="CP178" s="622">
        <f t="shared" si="54"/>
        <v>208.75</v>
      </c>
      <c r="CQ178" s="623">
        <f t="shared" si="55"/>
        <v>200</v>
      </c>
      <c r="CR178" s="624" t="str">
        <f t="shared" si="56"/>
        <v>S</v>
      </c>
      <c r="CS178" s="634">
        <f t="shared" si="57"/>
        <v>80</v>
      </c>
      <c r="CT178" s="591">
        <f t="shared" si="67"/>
        <v>20000000</v>
      </c>
      <c r="CU178" s="591">
        <f t="shared" si="70"/>
        <v>125</v>
      </c>
      <c r="CV178" s="591">
        <v>15000</v>
      </c>
      <c r="CW178" s="54"/>
      <c r="CX178" s="54">
        <v>252</v>
      </c>
      <c r="CY178" s="54"/>
      <c r="CZ178" s="54">
        <v>594</v>
      </c>
      <c r="DA178" s="54">
        <v>1.6875</v>
      </c>
      <c r="DB178" s="54">
        <v>6.25</v>
      </c>
      <c r="DC178" s="649">
        <f t="shared" si="58"/>
        <v>18.6</v>
      </c>
    </row>
    <row r="179" spans="1:107" ht="12.75">
      <c r="A179" s="24" t="s">
        <v>615</v>
      </c>
      <c r="B179" s="117" t="s">
        <v>307</v>
      </c>
      <c r="C179" s="315" t="s">
        <v>1042</v>
      </c>
      <c r="D179" s="409">
        <v>17</v>
      </c>
      <c r="E179" s="539" t="s">
        <v>207</v>
      </c>
      <c r="F179" s="15">
        <v>6</v>
      </c>
      <c r="G179" s="18">
        <v>2</v>
      </c>
      <c r="H179" s="17">
        <v>1</v>
      </c>
      <c r="I179" s="16">
        <v>0</v>
      </c>
      <c r="J179" s="187">
        <v>0</v>
      </c>
      <c r="K179" s="188">
        <v>2</v>
      </c>
      <c r="L179" s="867">
        <v>200</v>
      </c>
      <c r="M179" s="883">
        <v>245</v>
      </c>
      <c r="N179" s="339">
        <v>400</v>
      </c>
      <c r="O179" s="455">
        <v>0</v>
      </c>
      <c r="P179" s="531">
        <v>0</v>
      </c>
      <c r="Q179" s="340">
        <v>5203</v>
      </c>
      <c r="R179" s="375">
        <v>5000</v>
      </c>
      <c r="S179" s="376">
        <f t="shared" si="66"/>
        <v>21479.84350708007</v>
      </c>
      <c r="T179" s="352">
        <v>19500</v>
      </c>
      <c r="U179" s="359">
        <v>290000</v>
      </c>
      <c r="V179" s="360">
        <v>20000</v>
      </c>
      <c r="W179" s="361">
        <v>1</v>
      </c>
      <c r="X179" s="913">
        <v>3797</v>
      </c>
      <c r="Y179" s="46">
        <v>50</v>
      </c>
      <c r="Z179" s="48">
        <v>10</v>
      </c>
      <c r="AA179" s="48">
        <v>83.5</v>
      </c>
      <c r="AB179" s="50">
        <v>67.5</v>
      </c>
      <c r="AC179" s="345">
        <v>2531</v>
      </c>
      <c r="AD179" s="362">
        <v>1250</v>
      </c>
      <c r="AE179" s="292">
        <f t="shared" si="61"/>
        <v>2.0248</v>
      </c>
      <c r="AF179" s="46">
        <v>0</v>
      </c>
      <c r="AG179" s="48">
        <v>50</v>
      </c>
      <c r="AH179" s="48">
        <v>85</v>
      </c>
      <c r="AI179" s="47">
        <v>60</v>
      </c>
      <c r="AJ179" s="411">
        <f t="shared" si="68"/>
        <v>11531</v>
      </c>
      <c r="AK179" s="103" t="str">
        <f t="shared" si="60"/>
        <v>A</v>
      </c>
      <c r="AL179" s="862">
        <v>1156</v>
      </c>
      <c r="AM179" s="459">
        <v>293.75</v>
      </c>
      <c r="AN179" s="295">
        <f t="shared" si="62"/>
        <v>3.9353191489361703</v>
      </c>
      <c r="AO179" s="145">
        <v>50</v>
      </c>
      <c r="AP179" s="313" t="s">
        <v>467</v>
      </c>
      <c r="AQ179" s="370">
        <v>200</v>
      </c>
      <c r="AR179" s="33">
        <v>0</v>
      </c>
      <c r="AS179" s="34">
        <v>0</v>
      </c>
      <c r="AT179" s="34">
        <v>18</v>
      </c>
      <c r="AU179" s="73">
        <v>0</v>
      </c>
      <c r="AV179" s="371">
        <v>165</v>
      </c>
      <c r="AW179" s="368">
        <v>90</v>
      </c>
      <c r="AX179" s="33">
        <v>0</v>
      </c>
      <c r="AY179" s="34">
        <v>0</v>
      </c>
      <c r="AZ179" s="34">
        <v>9</v>
      </c>
      <c r="BA179" s="84">
        <v>0</v>
      </c>
      <c r="BB179" s="586">
        <v>3</v>
      </c>
      <c r="BC179" s="590">
        <v>1.08911E-07</v>
      </c>
      <c r="BD179" s="588">
        <f t="shared" si="51"/>
        <v>340.1977950003402</v>
      </c>
      <c r="BE179" s="299"/>
      <c r="BF179" s="300"/>
      <c r="BG179" s="112"/>
      <c r="BH179" s="541"/>
      <c r="BI179" s="301"/>
      <c r="BJ179" s="346" t="s">
        <v>1401</v>
      </c>
      <c r="BK179" s="13" t="s">
        <v>207</v>
      </c>
      <c r="BL179" s="303" t="s">
        <v>594</v>
      </c>
      <c r="BM179" s="86" t="s">
        <v>995</v>
      </c>
      <c r="BN179" s="303" t="s">
        <v>1231</v>
      </c>
      <c r="BO179" s="86"/>
      <c r="BP179" s="1" t="s">
        <v>1517</v>
      </c>
      <c r="BR179" s="1">
        <v>512</v>
      </c>
      <c r="BS179" s="21">
        <v>12745</v>
      </c>
      <c r="BT179" s="605"/>
      <c r="BU179" s="600">
        <v>0</v>
      </c>
      <c r="BV179" s="600">
        <v>0</v>
      </c>
      <c r="BW179" s="412">
        <f t="shared" si="71"/>
        <v>5000</v>
      </c>
      <c r="BX179" s="329">
        <f>IF($F179&gt;0,$BW179*$D$208,"")</f>
        <v>6375</v>
      </c>
      <c r="BY179" s="329">
        <f>IF($F179&gt;1,$BX179*$D$209,"")</f>
        <v>8128.124999999999</v>
      </c>
      <c r="BZ179" s="329">
        <f>IF($F179&gt;2,$BY179*$D$210,"")</f>
        <v>10363.359374999998</v>
      </c>
      <c r="CA179" s="329">
        <f>IF($F179&gt;3,$BZ179*$D$211,"")</f>
        <v>13213.283203124996</v>
      </c>
      <c r="CB179" s="329">
        <f>IF($F179&gt;4,$CA179*$D$212,"")</f>
        <v>16846.93608398437</v>
      </c>
      <c r="CC179" s="329">
        <f>IF($F179&gt;5,$CB179*$D$213,"")</f>
        <v>21479.84350708007</v>
      </c>
      <c r="CD179" s="329">
        <f>IF($F179&gt;6,$CC179*$D$214,"")</f>
      </c>
      <c r="CE179" s="485" t="s">
        <v>1241</v>
      </c>
      <c r="CF179" s="850" t="s">
        <v>585</v>
      </c>
      <c r="CG179" s="440" t="s">
        <v>357</v>
      </c>
      <c r="CH179" s="305">
        <v>13300510</v>
      </c>
      <c r="CI179" s="305">
        <f t="shared" si="63"/>
        <v>3990153</v>
      </c>
      <c r="CJ179" s="306">
        <f t="shared" si="64"/>
        <v>9310357</v>
      </c>
      <c r="CK179" s="307" t="e">
        <f>CJ179-#REF!</f>
        <v>#REF!</v>
      </c>
      <c r="CL179" s="592">
        <v>13273046</v>
      </c>
      <c r="CM179" s="21">
        <f t="shared" si="52"/>
        <v>0.9979351167737177</v>
      </c>
      <c r="CN179" s="21">
        <f t="shared" si="53"/>
        <v>3.326450389245726</v>
      </c>
      <c r="CO179" s="54"/>
      <c r="CP179" s="625">
        <f t="shared" si="54"/>
        <v>211</v>
      </c>
      <c r="CQ179" s="626">
        <f t="shared" si="55"/>
        <v>195</v>
      </c>
      <c r="CR179" s="624" t="str">
        <f t="shared" si="56"/>
        <v>A</v>
      </c>
      <c r="CS179" s="634">
        <f t="shared" si="57"/>
        <v>90</v>
      </c>
      <c r="CT179" s="591">
        <f t="shared" si="67"/>
        <v>19500000</v>
      </c>
      <c r="CU179" s="591">
        <f t="shared" si="70"/>
        <v>140.625</v>
      </c>
      <c r="CV179" s="591">
        <v>15000</v>
      </c>
      <c r="CW179" s="54"/>
      <c r="CX179" s="54">
        <v>286</v>
      </c>
      <c r="CY179" s="54"/>
      <c r="CZ179" s="54">
        <v>679</v>
      </c>
      <c r="DA179" s="54">
        <v>1.6875</v>
      </c>
      <c r="DB179" s="54">
        <v>6.25</v>
      </c>
      <c r="DC179" s="649">
        <f t="shared" si="58"/>
        <v>19.5</v>
      </c>
    </row>
    <row r="180" spans="1:107" ht="12.75">
      <c r="A180" s="24" t="s">
        <v>1519</v>
      </c>
      <c r="B180" s="117" t="s">
        <v>1520</v>
      </c>
      <c r="C180" s="319" t="s">
        <v>99</v>
      </c>
      <c r="D180" s="409">
        <v>17</v>
      </c>
      <c r="E180" s="539" t="s">
        <v>207</v>
      </c>
      <c r="F180" s="15">
        <v>5</v>
      </c>
      <c r="G180" s="18">
        <v>3</v>
      </c>
      <c r="H180" s="17">
        <v>1</v>
      </c>
      <c r="I180" s="16">
        <v>0</v>
      </c>
      <c r="J180" s="187">
        <v>0</v>
      </c>
      <c r="K180" s="188">
        <v>2</v>
      </c>
      <c r="L180" s="867">
        <v>190</v>
      </c>
      <c r="M180" s="883">
        <v>215</v>
      </c>
      <c r="N180" s="339">
        <v>400</v>
      </c>
      <c r="O180" s="455">
        <v>0</v>
      </c>
      <c r="P180" s="531">
        <v>0</v>
      </c>
      <c r="Q180" s="340">
        <v>3375</v>
      </c>
      <c r="R180" s="375">
        <v>5250</v>
      </c>
      <c r="S180" s="376">
        <f t="shared" si="66"/>
        <v>17689.282888183585</v>
      </c>
      <c r="T180" s="352">
        <v>18500</v>
      </c>
      <c r="U180" s="359">
        <v>285000</v>
      </c>
      <c r="V180" s="360">
        <v>20000</v>
      </c>
      <c r="W180" s="361">
        <v>1</v>
      </c>
      <c r="X180" s="340">
        <v>2813</v>
      </c>
      <c r="Y180" s="46">
        <v>90</v>
      </c>
      <c r="Z180" s="48">
        <v>10</v>
      </c>
      <c r="AA180" s="48">
        <v>25</v>
      </c>
      <c r="AB180" s="50">
        <v>67.5</v>
      </c>
      <c r="AC180" s="914">
        <v>3094</v>
      </c>
      <c r="AD180" s="362">
        <v>1250</v>
      </c>
      <c r="AE180" s="292">
        <f t="shared" si="61"/>
        <v>2.4752</v>
      </c>
      <c r="AF180" s="46">
        <v>75</v>
      </c>
      <c r="AG180" s="48">
        <v>50</v>
      </c>
      <c r="AH180" s="48">
        <v>40</v>
      </c>
      <c r="AI180" s="47">
        <v>60</v>
      </c>
      <c r="AJ180" s="411">
        <f t="shared" si="68"/>
        <v>9282</v>
      </c>
      <c r="AK180" s="331" t="s">
        <v>931</v>
      </c>
      <c r="AL180" s="862">
        <v>1000</v>
      </c>
      <c r="AM180" s="459">
        <v>250</v>
      </c>
      <c r="AN180" s="295">
        <f t="shared" si="62"/>
        <v>4</v>
      </c>
      <c r="AO180" s="145">
        <v>40</v>
      </c>
      <c r="AP180" s="313" t="s">
        <v>467</v>
      </c>
      <c r="AQ180" s="370">
        <v>210</v>
      </c>
      <c r="AR180" s="33">
        <v>0</v>
      </c>
      <c r="AS180" s="34">
        <v>0</v>
      </c>
      <c r="AT180" s="34">
        <v>0</v>
      </c>
      <c r="AU180" s="73">
        <v>14</v>
      </c>
      <c r="AV180" s="371">
        <v>150</v>
      </c>
      <c r="AW180" s="368">
        <v>100</v>
      </c>
      <c r="AX180" s="33">
        <v>0</v>
      </c>
      <c r="AY180" s="34">
        <v>0</v>
      </c>
      <c r="AZ180" s="34">
        <v>0</v>
      </c>
      <c r="BA180" s="84">
        <v>11</v>
      </c>
      <c r="BB180" s="586">
        <v>3</v>
      </c>
      <c r="BC180" s="590">
        <v>1.08911E-07</v>
      </c>
      <c r="BD180" s="588">
        <f t="shared" si="51"/>
        <v>310.19625000031016</v>
      </c>
      <c r="BE180" s="299"/>
      <c r="BF180" s="300"/>
      <c r="BG180" s="112"/>
      <c r="BH180" s="541"/>
      <c r="BI180" s="301"/>
      <c r="BJ180" s="346" t="s">
        <v>1401</v>
      </c>
      <c r="BK180" s="13" t="s">
        <v>207</v>
      </c>
      <c r="BL180" s="303" t="s">
        <v>428</v>
      </c>
      <c r="BM180" s="86" t="s">
        <v>995</v>
      </c>
      <c r="BN180" s="303" t="s">
        <v>1230</v>
      </c>
      <c r="BO180" s="86"/>
      <c r="BP180" s="1" t="s">
        <v>184</v>
      </c>
      <c r="BR180" s="1">
        <v>1320</v>
      </c>
      <c r="BS180" s="21">
        <v>12747</v>
      </c>
      <c r="BT180" s="605"/>
      <c r="BU180" s="600">
        <v>0</v>
      </c>
      <c r="BV180" s="600">
        <v>0</v>
      </c>
      <c r="BW180" s="412">
        <f t="shared" si="71"/>
        <v>5250</v>
      </c>
      <c r="BX180" s="329">
        <f>IF($F180&gt;0,$BW180*$D$208,"")</f>
        <v>6693.749999999999</v>
      </c>
      <c r="BY180" s="329">
        <f>IF($F180&gt;1,$BX180*$D$209,"")</f>
        <v>8534.531249999998</v>
      </c>
      <c r="BZ180" s="329">
        <f>IF($F180&gt;2,$BY180*$D$210,"")</f>
        <v>10881.527343749996</v>
      </c>
      <c r="CA180" s="329">
        <f>IF($F180&gt;3,$BZ180*$D$211,"")</f>
        <v>13873.947363281244</v>
      </c>
      <c r="CB180" s="329">
        <f>IF($F180&gt;4,$CA180*$D$212,"")</f>
        <v>17689.282888183585</v>
      </c>
      <c r="CC180" s="329">
        <f>IF($F180&gt;5,$CB180*$D$213,"")</f>
      </c>
      <c r="CD180" s="329">
        <f>IF($F180&gt;6,$CC180*$D$214,"")</f>
      </c>
      <c r="CE180" s="485" t="s">
        <v>433</v>
      </c>
      <c r="CF180" s="850" t="s">
        <v>585</v>
      </c>
      <c r="CG180" s="440" t="s">
        <v>358</v>
      </c>
      <c r="CH180" s="305">
        <v>8121292</v>
      </c>
      <c r="CI180" s="305">
        <f t="shared" si="63"/>
        <v>2436387.6</v>
      </c>
      <c r="CJ180" s="306">
        <f t="shared" si="64"/>
        <v>5684904.4</v>
      </c>
      <c r="CK180" s="307" t="e">
        <f>CJ180-#REF!</f>
        <v>#REF!</v>
      </c>
      <c r="CL180" s="592">
        <v>13273930</v>
      </c>
      <c r="CM180" s="21">
        <f t="shared" si="52"/>
        <v>1.6344603789643324</v>
      </c>
      <c r="CN180" s="21">
        <f t="shared" si="53"/>
        <v>5.4482012632144405</v>
      </c>
      <c r="CO180" s="54"/>
      <c r="CP180" s="626">
        <f t="shared" si="54"/>
        <v>192.5</v>
      </c>
      <c r="CQ180" s="627">
        <f t="shared" si="55"/>
        <v>225</v>
      </c>
      <c r="CR180" s="624" t="str">
        <f t="shared" si="56"/>
        <v>S</v>
      </c>
      <c r="CS180" s="634">
        <f t="shared" si="57"/>
        <v>100</v>
      </c>
      <c r="CT180" s="591">
        <f t="shared" si="67"/>
        <v>18500000</v>
      </c>
      <c r="CU180" s="591">
        <f t="shared" si="70"/>
        <v>156.25</v>
      </c>
      <c r="CV180" s="591">
        <v>15000</v>
      </c>
      <c r="CW180" s="54"/>
      <c r="CX180" s="54">
        <v>325</v>
      </c>
      <c r="CY180" s="54"/>
      <c r="CZ180" s="54">
        <v>780</v>
      </c>
      <c r="DA180" s="54">
        <v>1.6875</v>
      </c>
      <c r="DB180" s="54">
        <v>6.25</v>
      </c>
      <c r="DC180" s="649">
        <f t="shared" si="58"/>
        <v>18.5</v>
      </c>
    </row>
    <row r="181" spans="1:107" ht="12.75">
      <c r="A181" s="24" t="s">
        <v>186</v>
      </c>
      <c r="B181" s="117" t="s">
        <v>901</v>
      </c>
      <c r="C181" s="308" t="s">
        <v>827</v>
      </c>
      <c r="D181" s="409">
        <v>16</v>
      </c>
      <c r="E181" s="539" t="s">
        <v>207</v>
      </c>
      <c r="F181" s="15">
        <v>4</v>
      </c>
      <c r="G181" s="18">
        <v>2</v>
      </c>
      <c r="H181" s="17">
        <v>1</v>
      </c>
      <c r="I181" s="16">
        <v>0</v>
      </c>
      <c r="J181" s="187">
        <v>1</v>
      </c>
      <c r="K181" s="188">
        <v>2</v>
      </c>
      <c r="L181" s="867">
        <v>195</v>
      </c>
      <c r="M181" s="883">
        <v>150</v>
      </c>
      <c r="N181" s="339">
        <v>400</v>
      </c>
      <c r="O181" s="455">
        <v>0</v>
      </c>
      <c r="P181" s="531">
        <v>0</v>
      </c>
      <c r="Q181" s="340">
        <v>2250</v>
      </c>
      <c r="R181" s="375">
        <v>2500</v>
      </c>
      <c r="S181" s="376">
        <f t="shared" si="66"/>
        <v>6606.641601562498</v>
      </c>
      <c r="T181" s="352">
        <v>10750</v>
      </c>
      <c r="U181" s="359">
        <v>200000</v>
      </c>
      <c r="V181" s="360">
        <v>20000</v>
      </c>
      <c r="W181" s="361">
        <v>0.55</v>
      </c>
      <c r="X181" s="913">
        <v>2109</v>
      </c>
      <c r="Y181" s="46">
        <v>50</v>
      </c>
      <c r="Z181" s="48">
        <v>60</v>
      </c>
      <c r="AA181" s="48">
        <v>43.75</v>
      </c>
      <c r="AB181" s="50">
        <v>35</v>
      </c>
      <c r="AC181" s="345">
        <v>1055</v>
      </c>
      <c r="AD181" s="362">
        <v>1250</v>
      </c>
      <c r="AE181" s="292">
        <f aca="true" t="shared" si="72" ref="AE181:AE204">AC181/AD181</f>
        <v>0.844</v>
      </c>
      <c r="AF181" s="46">
        <v>0</v>
      </c>
      <c r="AG181" s="48">
        <v>75</v>
      </c>
      <c r="AH181" s="48">
        <v>55</v>
      </c>
      <c r="AI181" s="47">
        <v>20</v>
      </c>
      <c r="AJ181" s="411">
        <f t="shared" si="68"/>
        <v>5414</v>
      </c>
      <c r="AK181" s="103" t="str">
        <f t="shared" si="60"/>
        <v>A</v>
      </c>
      <c r="AL181" s="862">
        <v>937</v>
      </c>
      <c r="AM181" s="459">
        <v>281.25</v>
      </c>
      <c r="AN181" s="295">
        <f t="shared" si="62"/>
        <v>3.3315555555555556</v>
      </c>
      <c r="AO181" s="145">
        <v>35</v>
      </c>
      <c r="AP181" s="313" t="s">
        <v>467</v>
      </c>
      <c r="AQ181" s="370">
        <v>240</v>
      </c>
      <c r="AR181" s="33">
        <v>14</v>
      </c>
      <c r="AS181" s="34">
        <v>0</v>
      </c>
      <c r="AT181" s="34">
        <v>0</v>
      </c>
      <c r="AU181" s="73">
        <v>0</v>
      </c>
      <c r="AV181" s="371">
        <v>115</v>
      </c>
      <c r="AW181" s="368">
        <v>160</v>
      </c>
      <c r="AX181" s="33">
        <v>15</v>
      </c>
      <c r="AY181" s="34">
        <v>0</v>
      </c>
      <c r="AZ181" s="34">
        <v>0</v>
      </c>
      <c r="BA181" s="84">
        <v>0</v>
      </c>
      <c r="BB181" s="586">
        <v>9</v>
      </c>
      <c r="BC181" s="590">
        <v>1.08911E-07</v>
      </c>
      <c r="BD181" s="588">
        <f t="shared" si="51"/>
        <v>500.19506005863974</v>
      </c>
      <c r="BE181" s="299"/>
      <c r="BF181" s="300"/>
      <c r="BG181" s="112"/>
      <c r="BH181" s="541"/>
      <c r="BI181" s="301"/>
      <c r="BJ181" s="346" t="s">
        <v>1401</v>
      </c>
      <c r="BK181" s="13" t="s">
        <v>1146</v>
      </c>
      <c r="BL181" s="303" t="s">
        <v>459</v>
      </c>
      <c r="BM181" s="86" t="s">
        <v>449</v>
      </c>
      <c r="BN181" s="303" t="s">
        <v>1175</v>
      </c>
      <c r="BO181" s="86"/>
      <c r="BP181" s="1" t="s">
        <v>450</v>
      </c>
      <c r="BR181" s="1">
        <v>440</v>
      </c>
      <c r="BS181" s="21">
        <v>12733</v>
      </c>
      <c r="BT181" s="605" t="s">
        <v>214</v>
      </c>
      <c r="BU181" s="610">
        <v>1</v>
      </c>
      <c r="BV181" s="600">
        <v>0</v>
      </c>
      <c r="BW181" s="412">
        <f t="shared" si="71"/>
        <v>2500</v>
      </c>
      <c r="BX181" s="329">
        <f>IF($F181&gt;0,$BW181*$D$208,"")</f>
        <v>3187.5</v>
      </c>
      <c r="BY181" s="329">
        <f>IF($F181&gt;1,$BX181*$D$209,"")</f>
        <v>4064.0624999999995</v>
      </c>
      <c r="BZ181" s="329">
        <f>IF($F181&gt;2,$BY181*$D$210,"")</f>
        <v>5181.679687499999</v>
      </c>
      <c r="CA181" s="329">
        <f>IF($F181&gt;3,$BZ181*$D$211,"")</f>
        <v>6606.641601562498</v>
      </c>
      <c r="CB181" s="329">
        <f>IF($F181&gt;4,$CA181*$D$212,"")</f>
      </c>
      <c r="CC181" s="329">
        <f>IF($F181&gt;5,$CB181*$D$213,"")</f>
      </c>
      <c r="CD181" s="329">
        <f>IF($F181&gt;6,$CC181*$D$214,"")</f>
      </c>
      <c r="CE181" s="485" t="s">
        <v>1699</v>
      </c>
      <c r="CF181" s="850" t="s">
        <v>585</v>
      </c>
      <c r="CG181" s="440" t="s">
        <v>359</v>
      </c>
      <c r="CH181" s="305">
        <v>13273046</v>
      </c>
      <c r="CI181" s="305">
        <f t="shared" si="63"/>
        <v>3981913.8</v>
      </c>
      <c r="CJ181" s="306">
        <f t="shared" si="64"/>
        <v>9291132.2</v>
      </c>
      <c r="CK181" s="307" t="e">
        <f>CJ181-#REF!</f>
        <v>#REF!</v>
      </c>
      <c r="CL181" s="592">
        <v>8088028</v>
      </c>
      <c r="CM181" s="21">
        <f t="shared" si="52"/>
        <v>0.6093573396792266</v>
      </c>
      <c r="CN181" s="21">
        <f t="shared" si="53"/>
        <v>2.0311911322640888</v>
      </c>
      <c r="CO181" s="54"/>
      <c r="CP181" s="625">
        <f t="shared" si="54"/>
        <v>188.75</v>
      </c>
      <c r="CQ181" s="626">
        <f t="shared" si="55"/>
        <v>150</v>
      </c>
      <c r="CR181" s="624" t="str">
        <f t="shared" si="56"/>
        <v>A</v>
      </c>
      <c r="CS181" s="634">
        <f t="shared" si="57"/>
        <v>160</v>
      </c>
      <c r="CT181" s="591">
        <f t="shared" si="67"/>
        <v>10750000</v>
      </c>
      <c r="CU181" s="591">
        <f t="shared" si="70"/>
        <v>250</v>
      </c>
      <c r="CV181" s="591">
        <v>15000</v>
      </c>
      <c r="CW181" s="54"/>
      <c r="CX181" s="54">
        <v>652</v>
      </c>
      <c r="CY181" s="54"/>
      <c r="CZ181" s="54">
        <v>1738</v>
      </c>
      <c r="DA181" s="54">
        <v>1.6875</v>
      </c>
      <c r="DB181" s="54">
        <v>6.25</v>
      </c>
      <c r="DC181" s="649">
        <f t="shared" si="58"/>
        <v>5.9125000000000005</v>
      </c>
    </row>
    <row r="182" spans="1:107" ht="12.75">
      <c r="A182" s="24" t="s">
        <v>452</v>
      </c>
      <c r="B182" s="117" t="s">
        <v>453</v>
      </c>
      <c r="C182" s="636" t="s">
        <v>865</v>
      </c>
      <c r="D182" s="409">
        <v>16</v>
      </c>
      <c r="E182" s="539" t="s">
        <v>207</v>
      </c>
      <c r="F182" s="15">
        <v>2</v>
      </c>
      <c r="G182" s="18">
        <v>4</v>
      </c>
      <c r="H182" s="17">
        <v>1</v>
      </c>
      <c r="I182" s="16">
        <v>1</v>
      </c>
      <c r="J182" s="187">
        <v>0</v>
      </c>
      <c r="K182" s="188">
        <v>2</v>
      </c>
      <c r="L182" s="867">
        <v>285</v>
      </c>
      <c r="M182" s="883">
        <v>125</v>
      </c>
      <c r="N182" s="339">
        <v>400</v>
      </c>
      <c r="O182" s="455">
        <v>0</v>
      </c>
      <c r="P182" s="531">
        <v>0</v>
      </c>
      <c r="Q182" s="340">
        <v>1969</v>
      </c>
      <c r="R182" s="375">
        <v>3500</v>
      </c>
      <c r="S182" s="376">
        <f t="shared" si="66"/>
        <v>5689.6875</v>
      </c>
      <c r="T182" s="352">
        <v>11500</v>
      </c>
      <c r="U182" s="359">
        <v>195000</v>
      </c>
      <c r="V182" s="360">
        <v>20000</v>
      </c>
      <c r="W182" s="361">
        <v>0.48</v>
      </c>
      <c r="X182" s="340">
        <v>1196</v>
      </c>
      <c r="Y182" s="46">
        <v>50</v>
      </c>
      <c r="Z182" s="48">
        <v>10</v>
      </c>
      <c r="AA182" s="48">
        <v>43.75</v>
      </c>
      <c r="AB182" s="50">
        <v>72.5</v>
      </c>
      <c r="AC182" s="914">
        <v>1758</v>
      </c>
      <c r="AD182" s="362">
        <v>1250</v>
      </c>
      <c r="AE182" s="292">
        <f t="shared" si="72"/>
        <v>1.4064</v>
      </c>
      <c r="AF182" s="46">
        <v>0</v>
      </c>
      <c r="AG182" s="48">
        <v>50</v>
      </c>
      <c r="AH182" s="48">
        <v>55</v>
      </c>
      <c r="AI182" s="47">
        <v>60</v>
      </c>
      <c r="AJ182" s="411">
        <f t="shared" si="68"/>
        <v>4923</v>
      </c>
      <c r="AK182" s="103" t="str">
        <f t="shared" si="60"/>
        <v>S</v>
      </c>
      <c r="AL182" s="862">
        <v>843</v>
      </c>
      <c r="AM182" s="459">
        <v>253.13</v>
      </c>
      <c r="AN182" s="295">
        <f t="shared" si="62"/>
        <v>3.3303045865760676</v>
      </c>
      <c r="AO182" s="145">
        <v>45</v>
      </c>
      <c r="AP182" s="313" t="s">
        <v>467</v>
      </c>
      <c r="AQ182" s="370">
        <v>225</v>
      </c>
      <c r="AR182" s="33">
        <v>0</v>
      </c>
      <c r="AS182" s="34">
        <v>17</v>
      </c>
      <c r="AT182" s="34">
        <v>0</v>
      </c>
      <c r="AU182" s="73">
        <v>0</v>
      </c>
      <c r="AV182" s="371">
        <v>125</v>
      </c>
      <c r="AW182" s="368">
        <v>165</v>
      </c>
      <c r="AX182" s="33"/>
      <c r="AY182" s="34">
        <v>14</v>
      </c>
      <c r="AZ182" s="34">
        <v>0</v>
      </c>
      <c r="BA182" s="84">
        <v>0</v>
      </c>
      <c r="BB182" s="586">
        <v>9</v>
      </c>
      <c r="BC182" s="590">
        <v>1.08911E-07</v>
      </c>
      <c r="BD182" s="588">
        <f t="shared" si="51"/>
        <v>420.6665753808555</v>
      </c>
      <c r="BE182" s="299"/>
      <c r="BF182" s="300"/>
      <c r="BG182" s="112"/>
      <c r="BH182" s="541"/>
      <c r="BI182" s="301"/>
      <c r="BJ182" s="346" t="s">
        <v>1401</v>
      </c>
      <c r="BK182" s="13" t="s">
        <v>1146</v>
      </c>
      <c r="BL182" s="303" t="s">
        <v>211</v>
      </c>
      <c r="BM182" s="86" t="s">
        <v>449</v>
      </c>
      <c r="BN182" s="303" t="s">
        <v>1232</v>
      </c>
      <c r="BO182" s="86"/>
      <c r="BP182" s="1" t="s">
        <v>454</v>
      </c>
      <c r="BR182" s="1">
        <v>432</v>
      </c>
      <c r="BS182" s="21">
        <v>12729</v>
      </c>
      <c r="BT182" s="605" t="s">
        <v>214</v>
      </c>
      <c r="BU182" s="610">
        <v>1</v>
      </c>
      <c r="BV182" s="600">
        <v>0</v>
      </c>
      <c r="BW182" s="412">
        <f t="shared" si="71"/>
        <v>3500</v>
      </c>
      <c r="BX182" s="329">
        <f>IF($F182&gt;0,$BW182*$D$208,"")</f>
        <v>4462.5</v>
      </c>
      <c r="BY182" s="329">
        <f>IF($F182&gt;1,$BX182*$D$209,"")</f>
        <v>5689.6875</v>
      </c>
      <c r="BZ182" s="329">
        <f>IF($F182&gt;2,$BY182*$D$210,"")</f>
      </c>
      <c r="CA182" s="329">
        <f>IF($F182&gt;3,$BZ182*$D$211,"")</f>
      </c>
      <c r="CB182" s="329">
        <f>IF($F182&gt;4,$CA182*$D$212,"")</f>
      </c>
      <c r="CC182" s="329">
        <f>IF($F182&gt;5,$CB182*$D$213,"")</f>
      </c>
      <c r="CD182" s="329">
        <f>IF($F182&gt;6,$CC182*$D$214,"")</f>
      </c>
      <c r="CE182" s="485" t="s">
        <v>252</v>
      </c>
      <c r="CF182" s="850" t="s">
        <v>585</v>
      </c>
      <c r="CG182" s="440" t="s">
        <v>191</v>
      </c>
      <c r="CH182" s="305">
        <v>8141082</v>
      </c>
      <c r="CI182" s="305">
        <f t="shared" si="63"/>
        <v>2442324.6</v>
      </c>
      <c r="CJ182" s="306">
        <f t="shared" si="64"/>
        <v>5698757.4</v>
      </c>
      <c r="CK182" s="307" t="e">
        <f>CJ182-#REF!</f>
        <v>#REF!</v>
      </c>
      <c r="CL182" s="592">
        <v>8121292</v>
      </c>
      <c r="CM182" s="21">
        <f t="shared" si="52"/>
        <v>0.9975691191907906</v>
      </c>
      <c r="CN182" s="21">
        <f t="shared" si="53"/>
        <v>3.325230397302635</v>
      </c>
      <c r="CO182" s="54"/>
      <c r="CP182" s="622">
        <f t="shared" si="54"/>
        <v>176.25</v>
      </c>
      <c r="CQ182" s="623">
        <f t="shared" si="55"/>
        <v>165</v>
      </c>
      <c r="CR182" s="624" t="str">
        <f t="shared" si="56"/>
        <v>S</v>
      </c>
      <c r="CS182" s="634">
        <f t="shared" si="57"/>
        <v>165</v>
      </c>
      <c r="CT182" s="591">
        <f t="shared" si="67"/>
        <v>11500000</v>
      </c>
      <c r="CU182" s="591">
        <f t="shared" si="70"/>
        <v>257.8125</v>
      </c>
      <c r="CV182" s="591">
        <v>15000</v>
      </c>
      <c r="CW182" s="54"/>
      <c r="CX182" s="54">
        <v>653</v>
      </c>
      <c r="CY182" s="54"/>
      <c r="CZ182" s="54">
        <v>1723</v>
      </c>
      <c r="DA182" s="54">
        <v>1.6875</v>
      </c>
      <c r="DB182" s="54">
        <v>6.25</v>
      </c>
      <c r="DC182" s="649">
        <f t="shared" si="58"/>
        <v>5.52</v>
      </c>
    </row>
    <row r="183" spans="1:107" ht="12.75">
      <c r="A183" s="24" t="s">
        <v>1129</v>
      </c>
      <c r="B183" s="117" t="s">
        <v>1130</v>
      </c>
      <c r="C183" s="315" t="s">
        <v>1042</v>
      </c>
      <c r="D183" s="409">
        <v>16</v>
      </c>
      <c r="E183" s="539" t="s">
        <v>207</v>
      </c>
      <c r="F183" s="15">
        <v>3</v>
      </c>
      <c r="G183" s="18">
        <v>3</v>
      </c>
      <c r="H183" s="17">
        <v>1</v>
      </c>
      <c r="I183" s="16">
        <v>0</v>
      </c>
      <c r="J183" s="187">
        <v>1</v>
      </c>
      <c r="K183" s="188">
        <v>2</v>
      </c>
      <c r="L183" s="867">
        <v>250</v>
      </c>
      <c r="M183" s="883">
        <v>135</v>
      </c>
      <c r="N183" s="339">
        <v>400</v>
      </c>
      <c r="O183" s="455">
        <v>0</v>
      </c>
      <c r="P183" s="531">
        <v>0</v>
      </c>
      <c r="Q183" s="340">
        <v>2602</v>
      </c>
      <c r="R183" s="375">
        <v>3000</v>
      </c>
      <c r="S183" s="376">
        <f t="shared" si="66"/>
        <v>6218.015624999998</v>
      </c>
      <c r="T183" s="352">
        <v>11150</v>
      </c>
      <c r="U183" s="359">
        <v>190000</v>
      </c>
      <c r="V183" s="360">
        <v>20000</v>
      </c>
      <c r="W183" s="361">
        <v>0.55</v>
      </c>
      <c r="X183" s="913">
        <v>1899</v>
      </c>
      <c r="Y183" s="46">
        <v>50</v>
      </c>
      <c r="Z183" s="48">
        <v>10</v>
      </c>
      <c r="AA183" s="48">
        <v>67.5</v>
      </c>
      <c r="AB183" s="50">
        <v>51.25</v>
      </c>
      <c r="AC183" s="345">
        <v>1266</v>
      </c>
      <c r="AD183" s="362">
        <v>1250</v>
      </c>
      <c r="AE183" s="292">
        <f t="shared" si="72"/>
        <v>1.0128</v>
      </c>
      <c r="AF183" s="46">
        <v>0</v>
      </c>
      <c r="AG183" s="48">
        <v>50</v>
      </c>
      <c r="AH183" s="48">
        <v>70</v>
      </c>
      <c r="AI183" s="47">
        <v>40</v>
      </c>
      <c r="AJ183" s="411">
        <f t="shared" si="68"/>
        <v>5767</v>
      </c>
      <c r="AK183" s="103" t="str">
        <f t="shared" si="60"/>
        <v>A</v>
      </c>
      <c r="AL183" s="862">
        <v>875</v>
      </c>
      <c r="AM183" s="459">
        <v>262.5</v>
      </c>
      <c r="AN183" s="295">
        <f t="shared" si="62"/>
        <v>3.3333333333333335</v>
      </c>
      <c r="AO183" s="145">
        <v>40</v>
      </c>
      <c r="AP183" s="313" t="s">
        <v>467</v>
      </c>
      <c r="AQ183" s="370">
        <v>230</v>
      </c>
      <c r="AR183" s="33">
        <v>0</v>
      </c>
      <c r="AS183" s="34">
        <v>0</v>
      </c>
      <c r="AT183" s="34">
        <v>15</v>
      </c>
      <c r="AU183" s="73">
        <v>0</v>
      </c>
      <c r="AV183" s="371">
        <v>115</v>
      </c>
      <c r="AW183" s="368">
        <v>170</v>
      </c>
      <c r="AX183" s="33">
        <v>0</v>
      </c>
      <c r="AY183" s="34">
        <v>0</v>
      </c>
      <c r="AZ183" s="34">
        <v>15</v>
      </c>
      <c r="BA183" s="84">
        <v>0</v>
      </c>
      <c r="BB183" s="586">
        <v>9</v>
      </c>
      <c r="BC183" s="590">
        <v>1.08911E-07</v>
      </c>
      <c r="BD183" s="588">
        <f t="shared" si="51"/>
        <v>450.3409683300468</v>
      </c>
      <c r="BE183" s="299"/>
      <c r="BF183" s="300"/>
      <c r="BG183" s="112"/>
      <c r="BH183" s="541"/>
      <c r="BI183" s="301"/>
      <c r="BJ183" s="346" t="s">
        <v>1401</v>
      </c>
      <c r="BK183" s="13" t="s">
        <v>1146</v>
      </c>
      <c r="BL183" s="303" t="s">
        <v>212</v>
      </c>
      <c r="BM183" s="86" t="s">
        <v>449</v>
      </c>
      <c r="BN183" s="303" t="s">
        <v>1081</v>
      </c>
      <c r="BO183" s="86"/>
      <c r="BP183" s="1" t="s">
        <v>573</v>
      </c>
      <c r="BR183" s="1">
        <v>306</v>
      </c>
      <c r="BS183" s="21">
        <v>12743</v>
      </c>
      <c r="BT183" s="605" t="s">
        <v>214</v>
      </c>
      <c r="BU183" s="610">
        <v>1</v>
      </c>
      <c r="BV183" s="600">
        <v>0</v>
      </c>
      <c r="BW183" s="412">
        <f t="shared" si="71"/>
        <v>3000</v>
      </c>
      <c r="BX183" s="329">
        <f>IF($F183&gt;0,$BW183*$D$208,"")</f>
        <v>3824.9999999999995</v>
      </c>
      <c r="BY183" s="329">
        <f>IF($F183&gt;1,$BX183*$D$209,"")</f>
        <v>4876.874999999999</v>
      </c>
      <c r="BZ183" s="329">
        <f>IF($F183&gt;2,$BY183*$D$210,"")</f>
        <v>6218.015624999998</v>
      </c>
      <c r="CA183" s="329">
        <f>IF($F183&gt;3,$BZ183*$D$211,"")</f>
      </c>
      <c r="CB183" s="329">
        <f>IF($F183&gt;4,$CA183*$D$212,"")</f>
      </c>
      <c r="CC183" s="329">
        <f>IF($F183&gt;5,$CB183*$D$213,"")</f>
      </c>
      <c r="CD183" s="329">
        <f>IF($F183&gt;6,$CC183*$D$214,"")</f>
      </c>
      <c r="CE183" s="485" t="s">
        <v>1164</v>
      </c>
      <c r="CF183" s="850" t="s">
        <v>585</v>
      </c>
      <c r="CG183" s="440" t="s">
        <v>192</v>
      </c>
      <c r="CH183" s="305">
        <v>13273930</v>
      </c>
      <c r="CI183" s="305">
        <f t="shared" si="63"/>
        <v>3982179</v>
      </c>
      <c r="CJ183" s="306">
        <f t="shared" si="64"/>
        <v>9291751</v>
      </c>
      <c r="CK183" s="307" t="e">
        <f>CJ183-#REF!</f>
        <v>#REF!</v>
      </c>
      <c r="CL183" s="592">
        <v>8141082</v>
      </c>
      <c r="CM183" s="21">
        <f t="shared" si="52"/>
        <v>0.6133136154853913</v>
      </c>
      <c r="CN183" s="21">
        <f t="shared" si="53"/>
        <v>2.0443787182846376</v>
      </c>
      <c r="CO183" s="54"/>
      <c r="CP183" s="625">
        <f t="shared" si="54"/>
        <v>178.75</v>
      </c>
      <c r="CQ183" s="626">
        <f t="shared" si="55"/>
        <v>160</v>
      </c>
      <c r="CR183" s="624" t="str">
        <f t="shared" si="56"/>
        <v>A</v>
      </c>
      <c r="CS183" s="634">
        <f t="shared" si="57"/>
        <v>170</v>
      </c>
      <c r="CT183" s="591">
        <f t="shared" si="67"/>
        <v>11150000</v>
      </c>
      <c r="CU183" s="591">
        <f t="shared" si="70"/>
        <v>265.625</v>
      </c>
      <c r="CV183" s="591">
        <v>15000</v>
      </c>
      <c r="CW183" s="54"/>
      <c r="CX183" s="54">
        <v>682</v>
      </c>
      <c r="CY183" s="54"/>
      <c r="CZ183" s="54">
        <v>1808</v>
      </c>
      <c r="DA183" s="54">
        <v>1.6875</v>
      </c>
      <c r="DB183" s="54">
        <v>6.25</v>
      </c>
      <c r="DC183" s="649">
        <f t="shared" si="58"/>
        <v>6.132500000000001</v>
      </c>
    </row>
    <row r="184" spans="1:107" ht="12.75">
      <c r="A184" s="24" t="s">
        <v>575</v>
      </c>
      <c r="B184" s="117" t="s">
        <v>576</v>
      </c>
      <c r="C184" s="319" t="s">
        <v>99</v>
      </c>
      <c r="D184" s="409">
        <v>16</v>
      </c>
      <c r="E184" s="539" t="s">
        <v>207</v>
      </c>
      <c r="F184" s="15">
        <v>2</v>
      </c>
      <c r="G184" s="18">
        <v>3</v>
      </c>
      <c r="H184" s="17">
        <v>2</v>
      </c>
      <c r="I184" s="16">
        <v>1</v>
      </c>
      <c r="J184" s="187">
        <v>1</v>
      </c>
      <c r="K184" s="188">
        <v>2</v>
      </c>
      <c r="L184" s="867">
        <v>225</v>
      </c>
      <c r="M184" s="883">
        <v>130</v>
      </c>
      <c r="N184" s="339">
        <v>400</v>
      </c>
      <c r="O184" s="455">
        <v>0</v>
      </c>
      <c r="P184" s="531">
        <v>0</v>
      </c>
      <c r="Q184" s="340">
        <v>1688</v>
      </c>
      <c r="R184" s="375">
        <v>3250</v>
      </c>
      <c r="S184" s="376">
        <f t="shared" si="66"/>
        <v>5283.28125</v>
      </c>
      <c r="T184" s="352">
        <v>10000</v>
      </c>
      <c r="U184" s="359">
        <v>180000</v>
      </c>
      <c r="V184" s="360">
        <v>20000</v>
      </c>
      <c r="W184" s="361">
        <v>0.55</v>
      </c>
      <c r="X184" s="340">
        <v>1406</v>
      </c>
      <c r="Y184" s="46">
        <v>80</v>
      </c>
      <c r="Z184" s="48">
        <v>10</v>
      </c>
      <c r="AA184" s="48">
        <v>25</v>
      </c>
      <c r="AB184" s="50">
        <v>51.25</v>
      </c>
      <c r="AC184" s="914">
        <v>1547</v>
      </c>
      <c r="AD184" s="362">
        <v>1250</v>
      </c>
      <c r="AE184" s="292">
        <f t="shared" si="72"/>
        <v>1.2376</v>
      </c>
      <c r="AF184" s="46">
        <v>50</v>
      </c>
      <c r="AG184" s="48">
        <v>50</v>
      </c>
      <c r="AH184" s="48">
        <v>40</v>
      </c>
      <c r="AI184" s="47">
        <v>40</v>
      </c>
      <c r="AJ184" s="411">
        <f t="shared" si="68"/>
        <v>4641</v>
      </c>
      <c r="AK184" s="331" t="s">
        <v>931</v>
      </c>
      <c r="AL184" s="862">
        <v>781</v>
      </c>
      <c r="AM184" s="459">
        <v>234.38</v>
      </c>
      <c r="AN184" s="295">
        <f t="shared" si="62"/>
        <v>3.3321955798276304</v>
      </c>
      <c r="AO184" s="145">
        <v>30</v>
      </c>
      <c r="AP184" s="313" t="s">
        <v>467</v>
      </c>
      <c r="AQ184" s="370">
        <v>245</v>
      </c>
      <c r="AR184" s="33">
        <v>0</v>
      </c>
      <c r="AS184" s="34">
        <v>0</v>
      </c>
      <c r="AT184" s="34">
        <v>0</v>
      </c>
      <c r="AU184" s="73">
        <v>12</v>
      </c>
      <c r="AV184" s="371">
        <v>110</v>
      </c>
      <c r="AW184" s="368">
        <v>185</v>
      </c>
      <c r="AX184" s="33">
        <v>0</v>
      </c>
      <c r="AY184" s="34">
        <v>0</v>
      </c>
      <c r="AZ184" s="34">
        <v>0</v>
      </c>
      <c r="BA184" s="84">
        <v>16</v>
      </c>
      <c r="BB184" s="586">
        <v>9</v>
      </c>
      <c r="BC184" s="590">
        <v>1.08911E-07</v>
      </c>
      <c r="BD184" s="588">
        <f t="shared" si="51"/>
        <v>448.1870518129482</v>
      </c>
      <c r="BE184" s="299"/>
      <c r="BF184" s="300"/>
      <c r="BG184" s="112"/>
      <c r="BH184" s="541"/>
      <c r="BI184" s="301"/>
      <c r="BJ184" s="346" t="s">
        <v>1401</v>
      </c>
      <c r="BK184" s="13" t="s">
        <v>1146</v>
      </c>
      <c r="BL184" s="633" t="s">
        <v>817</v>
      </c>
      <c r="BM184" s="86" t="s">
        <v>449</v>
      </c>
      <c r="BN184" s="303" t="s">
        <v>1172</v>
      </c>
      <c r="BO184" s="86"/>
      <c r="BP184" s="1" t="s">
        <v>983</v>
      </c>
      <c r="BR184" s="1">
        <v>432</v>
      </c>
      <c r="BS184" s="21">
        <v>12735</v>
      </c>
      <c r="BT184" s="605" t="s">
        <v>214</v>
      </c>
      <c r="BU184" s="610">
        <v>2</v>
      </c>
      <c r="BV184" s="600">
        <v>0</v>
      </c>
      <c r="BW184" s="412">
        <f t="shared" si="71"/>
        <v>3250</v>
      </c>
      <c r="BX184" s="329">
        <f>IF($F184&gt;0,$BW184*$D$208,"")</f>
        <v>4143.75</v>
      </c>
      <c r="BY184" s="329">
        <f>IF($F184&gt;1,$BX184*$D$209,"")</f>
        <v>5283.28125</v>
      </c>
      <c r="BZ184" s="329">
        <f>IF($F184&gt;2,$BY184*$D$210,"")</f>
      </c>
      <c r="CA184" s="329">
        <f>IF($F184&gt;3,$BZ184*$D$211,"")</f>
      </c>
      <c r="CB184" s="329">
        <f>IF($F184&gt;4,$CA184*$D$212,"")</f>
      </c>
      <c r="CC184" s="329">
        <f>IF($F184&gt;5,$CB184*$D$213,"")</f>
      </c>
      <c r="CD184" s="329">
        <f>IF($F184&gt;6,$CC184*$D$214,"")</f>
      </c>
      <c r="CE184" s="485" t="s">
        <v>233</v>
      </c>
      <c r="CF184" s="850" t="s">
        <v>585</v>
      </c>
      <c r="CG184" s="440" t="s">
        <v>1644</v>
      </c>
      <c r="CH184" s="305">
        <v>8084568</v>
      </c>
      <c r="CI184" s="305">
        <f t="shared" si="63"/>
        <v>2425370.4</v>
      </c>
      <c r="CJ184" s="306">
        <f t="shared" si="64"/>
        <v>5659197.6</v>
      </c>
      <c r="CK184" s="307" t="e">
        <f>CJ184-#REF!</f>
        <v>#REF!</v>
      </c>
      <c r="CL184" s="592">
        <v>8084568</v>
      </c>
      <c r="CM184" s="21">
        <f t="shared" si="52"/>
        <v>1</v>
      </c>
      <c r="CN184" s="21">
        <f t="shared" si="53"/>
        <v>3.3333333333333335</v>
      </c>
      <c r="CO184" s="54"/>
      <c r="CP184" s="626">
        <f t="shared" si="54"/>
        <v>166.25</v>
      </c>
      <c r="CQ184" s="627">
        <f t="shared" si="55"/>
        <v>180</v>
      </c>
      <c r="CR184" s="624" t="str">
        <f t="shared" si="56"/>
        <v>S</v>
      </c>
      <c r="CS184" s="634">
        <f t="shared" si="57"/>
        <v>185</v>
      </c>
      <c r="CT184" s="591">
        <f t="shared" si="67"/>
        <v>10000000</v>
      </c>
      <c r="CU184" s="591">
        <f t="shared" si="70"/>
        <v>289.0625</v>
      </c>
      <c r="CV184" s="591">
        <v>15000</v>
      </c>
      <c r="CW184" s="54"/>
      <c r="CX184" s="54">
        <v>777</v>
      </c>
      <c r="CY184" s="54"/>
      <c r="CZ184" s="54">
        <v>2096</v>
      </c>
      <c r="DA184" s="54">
        <v>1.6875</v>
      </c>
      <c r="DB184" s="54">
        <v>6.25</v>
      </c>
      <c r="DC184" s="649">
        <f t="shared" si="58"/>
        <v>5.5</v>
      </c>
    </row>
    <row r="185" spans="1:107" ht="12.75">
      <c r="A185" s="24" t="s">
        <v>1449</v>
      </c>
      <c r="B185" s="69" t="s">
        <v>1449</v>
      </c>
      <c r="C185" s="308" t="s">
        <v>827</v>
      </c>
      <c r="D185" s="413">
        <v>15</v>
      </c>
      <c r="E185" s="414" t="s">
        <v>498</v>
      </c>
      <c r="F185" s="15">
        <v>4</v>
      </c>
      <c r="G185" s="18">
        <v>4</v>
      </c>
      <c r="H185" s="17">
        <v>2</v>
      </c>
      <c r="I185" s="16">
        <v>0</v>
      </c>
      <c r="J185" s="187">
        <v>1</v>
      </c>
      <c r="K185" s="188">
        <v>3</v>
      </c>
      <c r="L185" s="868">
        <v>750</v>
      </c>
      <c r="M185" s="884">
        <v>70</v>
      </c>
      <c r="N185" s="339">
        <v>400</v>
      </c>
      <c r="O185" s="454">
        <v>0</v>
      </c>
      <c r="P185" s="531">
        <v>0</v>
      </c>
      <c r="Q185" s="340">
        <v>1173</v>
      </c>
      <c r="R185" s="375">
        <v>4800</v>
      </c>
      <c r="S185" s="376">
        <f t="shared" si="66"/>
        <v>12684.751874999998</v>
      </c>
      <c r="T185" s="342">
        <v>13500</v>
      </c>
      <c r="U185" s="343">
        <v>260000</v>
      </c>
      <c r="V185" s="360">
        <v>20000</v>
      </c>
      <c r="W185" s="361">
        <v>1</v>
      </c>
      <c r="X185" s="340">
        <v>1173</v>
      </c>
      <c r="Y185" s="43">
        <v>50</v>
      </c>
      <c r="Z185" s="44">
        <v>20</v>
      </c>
      <c r="AA185" s="44">
        <v>25</v>
      </c>
      <c r="AB185" s="49">
        <v>35</v>
      </c>
      <c r="AC185" s="345">
        <v>195</v>
      </c>
      <c r="AD185" s="312">
        <v>625</v>
      </c>
      <c r="AE185" s="292">
        <f t="shared" si="72"/>
        <v>0.312</v>
      </c>
      <c r="AF185" s="43">
        <v>0</v>
      </c>
      <c r="AG185" s="44">
        <v>50</v>
      </c>
      <c r="AH185" s="44">
        <v>40</v>
      </c>
      <c r="AI185" s="45">
        <v>20</v>
      </c>
      <c r="AJ185" s="5">
        <f t="shared" si="68"/>
        <v>2541</v>
      </c>
      <c r="AK185" s="103" t="str">
        <f aca="true" t="shared" si="73" ref="AK185:AK204">IF($X185=$AC185,"=",IF(MAX($AC185,$X185)*0.1&gt;ABS($X185-$AC185),"~",IF(MAX($AC185,$X185)=$X185,"A","S")))</f>
        <v>A</v>
      </c>
      <c r="AL185" s="862">
        <v>687</v>
      </c>
      <c r="AM185" s="458">
        <v>381.25</v>
      </c>
      <c r="AN185" s="295">
        <f t="shared" si="62"/>
        <v>1.8019672131147542</v>
      </c>
      <c r="AO185" s="145">
        <v>45</v>
      </c>
      <c r="AP185" s="85" t="s">
        <v>467</v>
      </c>
      <c r="AQ185" s="297">
        <v>85</v>
      </c>
      <c r="AR185" s="33">
        <v>9</v>
      </c>
      <c r="AS185" s="34">
        <v>0</v>
      </c>
      <c r="AT185" s="34">
        <v>0</v>
      </c>
      <c r="AU185" s="73">
        <v>0</v>
      </c>
      <c r="AV185" s="39">
        <v>210</v>
      </c>
      <c r="AW185" s="368">
        <v>125</v>
      </c>
      <c r="AX185" s="33">
        <v>5</v>
      </c>
      <c r="AY185" s="34">
        <v>0</v>
      </c>
      <c r="AZ185" s="34">
        <v>0</v>
      </c>
      <c r="BA185" s="84">
        <v>0</v>
      </c>
      <c r="BB185" s="586">
        <v>4.5</v>
      </c>
      <c r="BC185" s="590">
        <v>1.08911E-07</v>
      </c>
      <c r="BD185" s="588">
        <f t="shared" si="51"/>
        <v>292.032536250292</v>
      </c>
      <c r="BE185" s="299"/>
      <c r="BF185" s="300"/>
      <c r="BG185" s="112"/>
      <c r="BH185" s="541"/>
      <c r="BI185" s="301"/>
      <c r="BJ185" s="696" t="s">
        <v>1476</v>
      </c>
      <c r="BK185" s="13" t="s">
        <v>207</v>
      </c>
      <c r="BL185" s="303" t="s">
        <v>1171</v>
      </c>
      <c r="BM185" s="86" t="s">
        <v>909</v>
      </c>
      <c r="BN185" s="303" t="s">
        <v>104</v>
      </c>
      <c r="BO185" s="86"/>
      <c r="BP185" s="1" t="s">
        <v>910</v>
      </c>
      <c r="BR185" s="1">
        <v>800</v>
      </c>
      <c r="BS185" s="21">
        <v>1944</v>
      </c>
      <c r="BT185" s="605" t="s">
        <v>214</v>
      </c>
      <c r="BU185" s="610">
        <v>1</v>
      </c>
      <c r="BV185" s="600">
        <v>0</v>
      </c>
      <c r="BW185" s="415">
        <f t="shared" si="71"/>
        <v>4800</v>
      </c>
      <c r="BX185" s="329">
        <f>IF($F185&gt;0,$BW185*$D$208,"")</f>
        <v>6120</v>
      </c>
      <c r="BY185" s="329">
        <f>IF($F185&gt;1,$BX185*$D$209,"")</f>
        <v>7802.999999999999</v>
      </c>
      <c r="BZ185" s="329">
        <f>IF($F185&gt;2,$BY185*$D$210,"")</f>
        <v>9948.824999999999</v>
      </c>
      <c r="CA185" s="329">
        <f>IF($F185&gt;3,$BZ185*$D$211,"")</f>
        <v>12684.751874999998</v>
      </c>
      <c r="CB185" s="329">
        <f>IF($F185&gt;4,$CA185*$D$212,"")</f>
      </c>
      <c r="CC185" s="329">
        <f>IF($F185&gt;5,$CB185*$D$213,"")</f>
      </c>
      <c r="CD185" s="329">
        <f>IF($F185&gt;6,$CC185*$D$214,"")</f>
      </c>
      <c r="CE185" s="485" t="s">
        <v>234</v>
      </c>
      <c r="CF185" s="853" t="s">
        <v>919</v>
      </c>
      <c r="CG185" s="440" t="s">
        <v>1645</v>
      </c>
      <c r="CH185" s="305">
        <v>497750</v>
      </c>
      <c r="CI185" s="305">
        <f t="shared" si="63"/>
        <v>149325</v>
      </c>
      <c r="CJ185" s="306">
        <f t="shared" si="64"/>
        <v>348425</v>
      </c>
      <c r="CK185" s="307" t="e">
        <f>CJ185-#REF!</f>
        <v>#REF!</v>
      </c>
      <c r="CL185" s="592">
        <v>497750</v>
      </c>
      <c r="CM185" s="21">
        <f t="shared" si="52"/>
        <v>1</v>
      </c>
      <c r="CN185" s="21">
        <f t="shared" si="53"/>
        <v>3.3333333333333335</v>
      </c>
      <c r="CO185" s="54"/>
      <c r="CP185" s="625">
        <f t="shared" si="54"/>
        <v>130</v>
      </c>
      <c r="CQ185" s="626">
        <f t="shared" si="55"/>
        <v>110</v>
      </c>
      <c r="CR185" s="624" t="str">
        <f t="shared" si="56"/>
        <v>A</v>
      </c>
      <c r="CS185" s="634">
        <f t="shared" si="57"/>
        <v>125</v>
      </c>
      <c r="CT185" s="591">
        <f t="shared" si="67"/>
        <v>13500000</v>
      </c>
      <c r="CU185" s="591">
        <f t="shared" si="70"/>
        <v>195.3125</v>
      </c>
      <c r="CV185" s="591">
        <v>15000</v>
      </c>
      <c r="CW185" s="54"/>
      <c r="CX185" s="54"/>
      <c r="CY185" s="54"/>
      <c r="CZ185" s="54"/>
      <c r="DA185" s="54">
        <v>1.6875</v>
      </c>
      <c r="DB185" s="54">
        <v>6.25</v>
      </c>
      <c r="DC185" s="649">
        <f t="shared" si="58"/>
        <v>13.5</v>
      </c>
    </row>
    <row r="186" spans="1:107" ht="12.75">
      <c r="A186" s="24" t="s">
        <v>901</v>
      </c>
      <c r="B186" s="69" t="s">
        <v>901</v>
      </c>
      <c r="C186" s="308" t="s">
        <v>827</v>
      </c>
      <c r="D186" s="413">
        <v>15</v>
      </c>
      <c r="E186" s="414" t="s">
        <v>498</v>
      </c>
      <c r="F186" s="15">
        <v>5</v>
      </c>
      <c r="G186" s="18">
        <v>3</v>
      </c>
      <c r="H186" s="17">
        <v>2</v>
      </c>
      <c r="I186" s="16">
        <v>0</v>
      </c>
      <c r="J186" s="187">
        <v>1</v>
      </c>
      <c r="K186" s="188">
        <v>3</v>
      </c>
      <c r="L186" s="868">
        <v>750</v>
      </c>
      <c r="M186" s="884">
        <v>70</v>
      </c>
      <c r="N186" s="339">
        <v>400</v>
      </c>
      <c r="O186" s="454">
        <v>0</v>
      </c>
      <c r="P186" s="531">
        <v>0</v>
      </c>
      <c r="Q186" s="340">
        <v>860</v>
      </c>
      <c r="R186" s="375">
        <v>3000</v>
      </c>
      <c r="S186" s="376">
        <f t="shared" si="66"/>
        <v>10108.16165039062</v>
      </c>
      <c r="T186" s="342">
        <v>11000</v>
      </c>
      <c r="U186" s="343">
        <v>230000</v>
      </c>
      <c r="V186" s="360">
        <v>20000</v>
      </c>
      <c r="W186" s="361">
        <v>1</v>
      </c>
      <c r="X186" s="340">
        <v>1016</v>
      </c>
      <c r="Y186" s="43">
        <v>50</v>
      </c>
      <c r="Z186" s="44">
        <v>20</v>
      </c>
      <c r="AA186" s="44">
        <v>25</v>
      </c>
      <c r="AB186" s="49">
        <v>35</v>
      </c>
      <c r="AC186" s="345">
        <v>156</v>
      </c>
      <c r="AD186" s="312">
        <v>625</v>
      </c>
      <c r="AE186" s="292">
        <f t="shared" si="72"/>
        <v>0.2496</v>
      </c>
      <c r="AF186" s="43">
        <v>0</v>
      </c>
      <c r="AG186" s="44">
        <v>50</v>
      </c>
      <c r="AH186" s="44">
        <v>40</v>
      </c>
      <c r="AI186" s="45">
        <v>20</v>
      </c>
      <c r="AJ186" s="5">
        <f t="shared" si="68"/>
        <v>2032</v>
      </c>
      <c r="AK186" s="103" t="str">
        <f t="shared" si="73"/>
        <v>A</v>
      </c>
      <c r="AL186" s="862">
        <v>687</v>
      </c>
      <c r="AM186" s="458">
        <v>381.25</v>
      </c>
      <c r="AN186" s="295">
        <f t="shared" si="62"/>
        <v>1.8019672131147542</v>
      </c>
      <c r="AO186" s="145">
        <v>45</v>
      </c>
      <c r="AP186" s="85" t="s">
        <v>467</v>
      </c>
      <c r="AQ186" s="297">
        <v>85</v>
      </c>
      <c r="AR186" s="33" t="s">
        <v>463</v>
      </c>
      <c r="AS186" s="34">
        <v>0</v>
      </c>
      <c r="AT186" s="34">
        <v>0</v>
      </c>
      <c r="AU186" s="73">
        <v>0</v>
      </c>
      <c r="AV186" s="39">
        <v>210</v>
      </c>
      <c r="AW186" s="368">
        <v>155</v>
      </c>
      <c r="AX186" s="33"/>
      <c r="AY186" s="34">
        <v>0</v>
      </c>
      <c r="AZ186" s="34">
        <v>0</v>
      </c>
      <c r="BA186" s="84">
        <v>0</v>
      </c>
      <c r="BB186" s="586">
        <v>4.5</v>
      </c>
      <c r="BC186" s="590">
        <v>1.08911E-07</v>
      </c>
      <c r="BD186" s="588">
        <f t="shared" si="51"/>
        <v>358.4035672162675</v>
      </c>
      <c r="BE186" s="299"/>
      <c r="BF186" s="300"/>
      <c r="BG186" s="112"/>
      <c r="BH186" s="541"/>
      <c r="BI186" s="301"/>
      <c r="BJ186" s="696" t="s">
        <v>1476</v>
      </c>
      <c r="BK186" s="13" t="s">
        <v>207</v>
      </c>
      <c r="BL186" s="303" t="s">
        <v>1171</v>
      </c>
      <c r="BM186" s="86" t="s">
        <v>637</v>
      </c>
      <c r="BN186" s="303" t="s">
        <v>104</v>
      </c>
      <c r="BO186" s="86"/>
      <c r="BP186" s="1" t="s">
        <v>638</v>
      </c>
      <c r="BR186" s="1">
        <v>440</v>
      </c>
      <c r="BS186" s="21">
        <v>19744</v>
      </c>
      <c r="BT186" s="605" t="s">
        <v>214</v>
      </c>
      <c r="BU186" s="610">
        <v>1</v>
      </c>
      <c r="BV186" s="600">
        <v>0</v>
      </c>
      <c r="BW186" s="415">
        <f t="shared" si="71"/>
        <v>3000</v>
      </c>
      <c r="BX186" s="329">
        <f>IF($F186&gt;0,$BW186*$D$208,"")</f>
        <v>3824.9999999999995</v>
      </c>
      <c r="BY186" s="329">
        <f>IF($F186&gt;1,$BX186*$D$209,"")</f>
        <v>4876.874999999999</v>
      </c>
      <c r="BZ186" s="329">
        <f>IF($F186&gt;2,$BY186*$D$210,"")</f>
        <v>6218.015624999998</v>
      </c>
      <c r="CA186" s="329">
        <f>IF($F186&gt;3,$BZ186*$D$211,"")</f>
        <v>7927.969921874997</v>
      </c>
      <c r="CB186" s="329">
        <f>IF($F186&gt;4,$CA186*$D$212,"")</f>
        <v>10108.16165039062</v>
      </c>
      <c r="CC186" s="329">
        <f>IF($F186&gt;5,$CB186*$D$213,"")</f>
      </c>
      <c r="CD186" s="329">
        <f>IF($F186&gt;6,$CC186*$D$214,"")</f>
      </c>
      <c r="CE186" s="485" t="s">
        <v>235</v>
      </c>
      <c r="CF186" s="850" t="s">
        <v>585</v>
      </c>
      <c r="CG186" s="440" t="s">
        <v>1646</v>
      </c>
      <c r="CH186" s="305">
        <v>497750</v>
      </c>
      <c r="CI186" s="305">
        <f t="shared" si="63"/>
        <v>149325</v>
      </c>
      <c r="CJ186" s="306">
        <f t="shared" si="64"/>
        <v>348425</v>
      </c>
      <c r="CK186" s="307" t="e">
        <f>CJ186-#REF!</f>
        <v>#REF!</v>
      </c>
      <c r="CL186" s="592">
        <v>497750</v>
      </c>
      <c r="CM186" s="21">
        <f t="shared" si="52"/>
        <v>1</v>
      </c>
      <c r="CN186" s="21">
        <f t="shared" si="53"/>
        <v>3.3333333333333335</v>
      </c>
      <c r="CO186" s="54"/>
      <c r="CP186" s="625">
        <f t="shared" si="54"/>
        <v>130</v>
      </c>
      <c r="CQ186" s="626">
        <f t="shared" si="55"/>
        <v>110</v>
      </c>
      <c r="CR186" s="624" t="str">
        <f t="shared" si="56"/>
        <v>A</v>
      </c>
      <c r="CS186" s="634">
        <f t="shared" si="57"/>
        <v>155</v>
      </c>
      <c r="CT186" s="591">
        <f t="shared" si="67"/>
        <v>11000000</v>
      </c>
      <c r="CU186" s="591">
        <f t="shared" si="70"/>
        <v>242.1875</v>
      </c>
      <c r="CV186" s="591">
        <v>15000</v>
      </c>
      <c r="CW186" s="54"/>
      <c r="CX186" s="54"/>
      <c r="CY186" s="54"/>
      <c r="CZ186" s="54"/>
      <c r="DA186" s="54">
        <v>1.6875</v>
      </c>
      <c r="DB186" s="54">
        <v>6.25</v>
      </c>
      <c r="DC186" s="649">
        <f t="shared" si="58"/>
        <v>11</v>
      </c>
    </row>
    <row r="187" spans="1:107" ht="12.75">
      <c r="A187" s="24" t="s">
        <v>640</v>
      </c>
      <c r="B187" s="69" t="s">
        <v>640</v>
      </c>
      <c r="C187" s="636" t="s">
        <v>865</v>
      </c>
      <c r="D187" s="413">
        <v>15</v>
      </c>
      <c r="E187" s="414" t="s">
        <v>498</v>
      </c>
      <c r="F187" s="15">
        <v>2</v>
      </c>
      <c r="G187" s="18">
        <v>4</v>
      </c>
      <c r="H187" s="17">
        <v>1</v>
      </c>
      <c r="I187" s="16">
        <v>0</v>
      </c>
      <c r="J187" s="187">
        <v>1</v>
      </c>
      <c r="K187" s="188">
        <v>3</v>
      </c>
      <c r="L187" s="868">
        <v>750</v>
      </c>
      <c r="M187" s="884">
        <v>50</v>
      </c>
      <c r="N187" s="339">
        <v>400</v>
      </c>
      <c r="O187" s="454">
        <v>0</v>
      </c>
      <c r="P187" s="531">
        <v>0</v>
      </c>
      <c r="Q187" s="340">
        <v>860</v>
      </c>
      <c r="R187" s="375">
        <v>4125</v>
      </c>
      <c r="S187" s="376">
        <f t="shared" si="66"/>
        <v>6705.703124999999</v>
      </c>
      <c r="T187" s="342">
        <v>12750</v>
      </c>
      <c r="U187" s="343">
        <v>250000</v>
      </c>
      <c r="V187" s="360">
        <v>20000</v>
      </c>
      <c r="W187" s="361">
        <v>0.79</v>
      </c>
      <c r="X187" s="340">
        <v>743</v>
      </c>
      <c r="Y187" s="43">
        <v>50</v>
      </c>
      <c r="Z187" s="44">
        <v>10</v>
      </c>
      <c r="AA187" s="44">
        <v>25</v>
      </c>
      <c r="AB187" s="49">
        <v>45</v>
      </c>
      <c r="AC187" s="345">
        <v>274</v>
      </c>
      <c r="AD187" s="312">
        <v>625</v>
      </c>
      <c r="AE187" s="292">
        <f t="shared" si="72"/>
        <v>0.4384</v>
      </c>
      <c r="AF187" s="43">
        <v>0</v>
      </c>
      <c r="AG187" s="44">
        <v>50</v>
      </c>
      <c r="AH187" s="44">
        <v>40</v>
      </c>
      <c r="AI187" s="45">
        <v>20</v>
      </c>
      <c r="AJ187" s="5">
        <f t="shared" si="68"/>
        <v>1877</v>
      </c>
      <c r="AK187" s="103" t="str">
        <f t="shared" si="73"/>
        <v>A</v>
      </c>
      <c r="AL187" s="862">
        <v>437</v>
      </c>
      <c r="AM187" s="458">
        <v>242.5</v>
      </c>
      <c r="AN187" s="295">
        <f t="shared" si="62"/>
        <v>1.8020618556701031</v>
      </c>
      <c r="AO187" s="145">
        <v>42</v>
      </c>
      <c r="AP187" s="85" t="s">
        <v>467</v>
      </c>
      <c r="AQ187" s="297">
        <v>60</v>
      </c>
      <c r="AR187" s="33">
        <v>0</v>
      </c>
      <c r="AS187" s="34">
        <v>11</v>
      </c>
      <c r="AT187" s="34">
        <v>0</v>
      </c>
      <c r="AU187" s="73">
        <v>0</v>
      </c>
      <c r="AV187" s="39">
        <v>220</v>
      </c>
      <c r="AW187" s="368">
        <v>120</v>
      </c>
      <c r="AX187" s="33">
        <v>0</v>
      </c>
      <c r="AY187" s="34">
        <v>4</v>
      </c>
      <c r="AZ187" s="34">
        <v>0</v>
      </c>
      <c r="BA187" s="84">
        <v>0</v>
      </c>
      <c r="BB187" s="586">
        <v>4.5</v>
      </c>
      <c r="BC187" s="590">
        <v>1.08911E-07</v>
      </c>
      <c r="BD187" s="588">
        <f t="shared" si="51"/>
        <v>196.68875161784376</v>
      </c>
      <c r="BE187" s="299"/>
      <c r="BF187" s="300"/>
      <c r="BG187" s="112"/>
      <c r="BH187" s="541"/>
      <c r="BI187" s="301">
        <v>1</v>
      </c>
      <c r="BJ187" s="696" t="s">
        <v>1476</v>
      </c>
      <c r="BK187" s="13" t="s">
        <v>207</v>
      </c>
      <c r="BL187" s="303" t="s">
        <v>1171</v>
      </c>
      <c r="BM187" s="86" t="s">
        <v>1050</v>
      </c>
      <c r="BN187" s="303" t="s">
        <v>104</v>
      </c>
      <c r="BO187" s="86"/>
      <c r="BP187" s="1" t="s">
        <v>1051</v>
      </c>
      <c r="BQ187" t="s">
        <v>1052</v>
      </c>
      <c r="BR187" s="1">
        <v>432</v>
      </c>
      <c r="BS187" s="21">
        <v>648</v>
      </c>
      <c r="BT187" s="605" t="s">
        <v>214</v>
      </c>
      <c r="BU187" s="610">
        <v>1</v>
      </c>
      <c r="BV187" s="600">
        <v>0</v>
      </c>
      <c r="BW187" s="415">
        <f t="shared" si="71"/>
        <v>4125</v>
      </c>
      <c r="BX187" s="329">
        <f>IF($F187&gt;0,$BW187*$D$208,"")</f>
        <v>5259.375</v>
      </c>
      <c r="BY187" s="329">
        <f>IF($F187&gt;1,$BX187*$D$209,"")</f>
        <v>6705.703124999999</v>
      </c>
      <c r="BZ187" s="329">
        <f>IF($F187&gt;2,$BY187*$D$210,"")</f>
      </c>
      <c r="CA187" s="329">
        <f>IF($F187&gt;3,$BZ187*$D$211,"")</f>
      </c>
      <c r="CB187" s="329">
        <f>IF($F187&gt;4,$CA187*$D$212,"")</f>
      </c>
      <c r="CC187" s="329">
        <f>IF($F187&gt;5,$CB187*$D$213,"")</f>
      </c>
      <c r="CD187" s="329">
        <f>IF($F187&gt;6,$CC187*$D$214,"")</f>
      </c>
      <c r="CE187" s="485" t="s">
        <v>236</v>
      </c>
      <c r="CF187" s="853" t="s">
        <v>919</v>
      </c>
      <c r="CG187" s="440" t="s">
        <v>1647</v>
      </c>
      <c r="CH187" s="305">
        <v>348750</v>
      </c>
      <c r="CI187" s="305">
        <f t="shared" si="63"/>
        <v>104625</v>
      </c>
      <c r="CJ187" s="306">
        <f t="shared" si="64"/>
        <v>244125</v>
      </c>
      <c r="CK187" s="307" t="e">
        <f>CJ187-#REF!</f>
        <v>#REF!</v>
      </c>
      <c r="CL187" s="592">
        <v>348750</v>
      </c>
      <c r="CM187" s="21">
        <f t="shared" si="52"/>
        <v>1</v>
      </c>
      <c r="CN187" s="21">
        <f t="shared" si="53"/>
        <v>3.3333333333333335</v>
      </c>
      <c r="CO187" s="54"/>
      <c r="CP187" s="625">
        <f t="shared" si="54"/>
        <v>130</v>
      </c>
      <c r="CQ187" s="626">
        <f t="shared" si="55"/>
        <v>110</v>
      </c>
      <c r="CR187" s="624" t="str">
        <f t="shared" si="56"/>
        <v>A</v>
      </c>
      <c r="CS187" s="634">
        <f t="shared" si="57"/>
        <v>120</v>
      </c>
      <c r="CT187" s="591">
        <f t="shared" si="67"/>
        <v>12750000</v>
      </c>
      <c r="CU187" s="591">
        <f>CS187*1.25*1.25</f>
        <v>187.5</v>
      </c>
      <c r="CV187" s="591">
        <v>15000</v>
      </c>
      <c r="CW187" s="54"/>
      <c r="CX187" s="54"/>
      <c r="CY187" s="54"/>
      <c r="CZ187" s="54"/>
      <c r="DA187" s="54">
        <v>1.6875</v>
      </c>
      <c r="DB187" s="54">
        <v>6.25</v>
      </c>
      <c r="DC187" s="649">
        <f t="shared" si="58"/>
        <v>10.0725</v>
      </c>
    </row>
    <row r="188" spans="1:107" ht="12.75">
      <c r="A188" s="389" t="s">
        <v>1054</v>
      </c>
      <c r="B188" s="69" t="s">
        <v>453</v>
      </c>
      <c r="C188" s="636" t="s">
        <v>865</v>
      </c>
      <c r="D188" s="413">
        <v>15</v>
      </c>
      <c r="E188" s="414" t="s">
        <v>498</v>
      </c>
      <c r="F188" s="15">
        <v>3</v>
      </c>
      <c r="G188" s="18">
        <v>6</v>
      </c>
      <c r="H188" s="17">
        <v>2</v>
      </c>
      <c r="I188" s="16">
        <v>0</v>
      </c>
      <c r="J188" s="187">
        <v>1</v>
      </c>
      <c r="K188" s="188">
        <v>3</v>
      </c>
      <c r="L188" s="875">
        <v>1000</v>
      </c>
      <c r="M188" s="884">
        <v>80</v>
      </c>
      <c r="N188" s="339">
        <v>400</v>
      </c>
      <c r="O188" s="454">
        <v>0</v>
      </c>
      <c r="P188" s="531">
        <v>0</v>
      </c>
      <c r="Q188" s="340">
        <v>1016</v>
      </c>
      <c r="R188" s="375">
        <v>5250</v>
      </c>
      <c r="S188" s="376">
        <f t="shared" si="66"/>
        <v>10881.527343749996</v>
      </c>
      <c r="T188" s="342">
        <v>13500</v>
      </c>
      <c r="U188" s="343">
        <v>270000</v>
      </c>
      <c r="V188" s="360">
        <v>20000</v>
      </c>
      <c r="W188" s="361">
        <v>0.93</v>
      </c>
      <c r="X188" s="340">
        <v>1016</v>
      </c>
      <c r="Y188" s="43">
        <v>50</v>
      </c>
      <c r="Z188" s="44">
        <v>10</v>
      </c>
      <c r="AA188" s="44">
        <v>25</v>
      </c>
      <c r="AB188" s="49">
        <v>45</v>
      </c>
      <c r="AC188" s="345">
        <v>548</v>
      </c>
      <c r="AD188" s="312">
        <v>625</v>
      </c>
      <c r="AE188" s="292">
        <f t="shared" si="72"/>
        <v>0.8768</v>
      </c>
      <c r="AF188" s="43">
        <v>0</v>
      </c>
      <c r="AG188" s="44">
        <v>50</v>
      </c>
      <c r="AH188" s="44">
        <v>40</v>
      </c>
      <c r="AI188" s="45">
        <v>20</v>
      </c>
      <c r="AJ188" s="5">
        <f t="shared" si="68"/>
        <v>2580</v>
      </c>
      <c r="AK188" s="103" t="str">
        <f t="shared" si="73"/>
        <v>A</v>
      </c>
      <c r="AL188" s="862">
        <v>625</v>
      </c>
      <c r="AM188" s="458">
        <v>346.25</v>
      </c>
      <c r="AN188" s="295">
        <f t="shared" si="62"/>
        <v>1.8050541516245486</v>
      </c>
      <c r="AO188" s="145">
        <v>45</v>
      </c>
      <c r="AP188" s="85" t="s">
        <v>467</v>
      </c>
      <c r="AQ188" s="297">
        <v>50</v>
      </c>
      <c r="AR188" s="33">
        <v>0</v>
      </c>
      <c r="AS188" s="34">
        <v>13</v>
      </c>
      <c r="AT188" s="34">
        <v>0</v>
      </c>
      <c r="AU188" s="73">
        <v>0</v>
      </c>
      <c r="AV188" s="39">
        <v>250</v>
      </c>
      <c r="AW188" s="368">
        <v>115</v>
      </c>
      <c r="AX188" s="33">
        <v>0</v>
      </c>
      <c r="AY188" s="34">
        <v>5</v>
      </c>
      <c r="AZ188" s="34">
        <v>0</v>
      </c>
      <c r="BA188" s="84">
        <v>0</v>
      </c>
      <c r="BB188" s="586">
        <v>4.5</v>
      </c>
      <c r="BC188" s="590">
        <v>1.08911E-07</v>
      </c>
      <c r="BD188" s="588">
        <f t="shared" si="51"/>
        <v>265.67734375026566</v>
      </c>
      <c r="BE188" s="299"/>
      <c r="BF188" s="300"/>
      <c r="BG188" s="112"/>
      <c r="BH188" s="541"/>
      <c r="BI188" s="301">
        <v>2</v>
      </c>
      <c r="BJ188" s="696" t="s">
        <v>1476</v>
      </c>
      <c r="BK188" s="13" t="s">
        <v>207</v>
      </c>
      <c r="BL188" s="303" t="s">
        <v>1171</v>
      </c>
      <c r="BM188" s="86" t="s">
        <v>1338</v>
      </c>
      <c r="BN188" s="303" t="s">
        <v>104</v>
      </c>
      <c r="BO188" s="86"/>
      <c r="BP188" s="1" t="s">
        <v>1051</v>
      </c>
      <c r="BQ188" t="s">
        <v>613</v>
      </c>
      <c r="BR188" s="1">
        <v>626</v>
      </c>
      <c r="BS188" s="21">
        <v>649</v>
      </c>
      <c r="BT188" s="605" t="s">
        <v>214</v>
      </c>
      <c r="BU188" s="610">
        <v>1</v>
      </c>
      <c r="BV188" s="600">
        <v>0</v>
      </c>
      <c r="BW188" s="415">
        <f t="shared" si="71"/>
        <v>5250</v>
      </c>
      <c r="BX188" s="329">
        <f>IF($F188&gt;0,$BW188*$D$208,"")</f>
        <v>6693.749999999999</v>
      </c>
      <c r="BY188" s="329">
        <f>IF($F188&gt;1,$BX188*$D$209,"")</f>
        <v>8534.531249999998</v>
      </c>
      <c r="BZ188" s="329">
        <f>IF($F188&gt;2,$BY188*$D$210,"")</f>
        <v>10881.527343749996</v>
      </c>
      <c r="CA188" s="329">
        <f>IF($F188&gt;3,$BZ188*$D$211,"")</f>
      </c>
      <c r="CB188" s="329">
        <f>IF($F188&gt;4,$CA188*$D$212,"")</f>
      </c>
      <c r="CC188" s="329">
        <f>IF($F188&gt;5,$CB188*$D$213,"")</f>
      </c>
      <c r="CD188" s="329">
        <f>IF($F188&gt;6,$CC188*$D$214,"")</f>
      </c>
      <c r="CE188" s="485" t="s">
        <v>237</v>
      </c>
      <c r="CF188" s="853" t="s">
        <v>919</v>
      </c>
      <c r="CG188" s="440" t="s">
        <v>1648</v>
      </c>
      <c r="CH188" s="305">
        <v>742500</v>
      </c>
      <c r="CI188" s="305">
        <f t="shared" si="63"/>
        <v>222750</v>
      </c>
      <c r="CJ188" s="306">
        <f t="shared" si="64"/>
        <v>519750</v>
      </c>
      <c r="CK188" s="307" t="e">
        <f>CJ188-#REF!</f>
        <v>#REF!</v>
      </c>
      <c r="CL188" s="592">
        <v>742500</v>
      </c>
      <c r="CM188" s="21">
        <f t="shared" si="52"/>
        <v>1</v>
      </c>
      <c r="CN188" s="21">
        <f t="shared" si="53"/>
        <v>3.3333333333333335</v>
      </c>
      <c r="CO188" s="54"/>
      <c r="CP188" s="625">
        <f t="shared" si="54"/>
        <v>130</v>
      </c>
      <c r="CQ188" s="626">
        <f t="shared" si="55"/>
        <v>110</v>
      </c>
      <c r="CR188" s="624" t="str">
        <f t="shared" si="56"/>
        <v>A</v>
      </c>
      <c r="CS188" s="634">
        <f t="shared" si="57"/>
        <v>115</v>
      </c>
      <c r="CT188" s="591">
        <f t="shared" si="67"/>
        <v>13500000</v>
      </c>
      <c r="CU188" s="591">
        <f>CS188*1.25*1.25</f>
        <v>179.6875</v>
      </c>
      <c r="CV188" s="591">
        <v>15000</v>
      </c>
      <c r="CW188" s="54"/>
      <c r="CX188" s="54"/>
      <c r="CY188" s="54"/>
      <c r="CZ188" s="54"/>
      <c r="DA188" s="54">
        <v>1.6875</v>
      </c>
      <c r="DB188" s="54">
        <v>6.25</v>
      </c>
      <c r="DC188" s="649">
        <f t="shared" si="58"/>
        <v>12.555</v>
      </c>
    </row>
    <row r="189" spans="1:107" ht="12.75">
      <c r="A189" s="381" t="s">
        <v>1340</v>
      </c>
      <c r="B189" s="69" t="s">
        <v>1340</v>
      </c>
      <c r="C189" s="315" t="s">
        <v>1042</v>
      </c>
      <c r="D189" s="413">
        <v>15</v>
      </c>
      <c r="E189" s="414" t="s">
        <v>498</v>
      </c>
      <c r="F189" s="15">
        <v>2</v>
      </c>
      <c r="G189" s="18">
        <v>2</v>
      </c>
      <c r="H189" s="17">
        <v>1</v>
      </c>
      <c r="I189" s="16">
        <v>0</v>
      </c>
      <c r="J189" s="187">
        <v>1</v>
      </c>
      <c r="K189" s="188">
        <v>3</v>
      </c>
      <c r="L189" s="868">
        <v>600</v>
      </c>
      <c r="M189" s="884">
        <v>45</v>
      </c>
      <c r="N189" s="339">
        <v>400</v>
      </c>
      <c r="O189" s="454">
        <v>0</v>
      </c>
      <c r="P189" s="531">
        <v>0</v>
      </c>
      <c r="Q189" s="340">
        <v>781</v>
      </c>
      <c r="R189" s="375">
        <v>3000</v>
      </c>
      <c r="S189" s="376">
        <f t="shared" si="66"/>
        <v>4876.874999999999</v>
      </c>
      <c r="T189" s="342">
        <v>10250</v>
      </c>
      <c r="U189" s="343">
        <v>240000</v>
      </c>
      <c r="V189" s="360">
        <v>20000</v>
      </c>
      <c r="W189" s="361">
        <v>1</v>
      </c>
      <c r="X189" s="340">
        <v>781</v>
      </c>
      <c r="Y189" s="43">
        <v>50</v>
      </c>
      <c r="Z189" s="44">
        <v>10</v>
      </c>
      <c r="AA189" s="44">
        <v>35</v>
      </c>
      <c r="AB189" s="49">
        <v>35</v>
      </c>
      <c r="AC189" s="345">
        <v>79</v>
      </c>
      <c r="AD189" s="312">
        <v>625</v>
      </c>
      <c r="AE189" s="292">
        <f t="shared" si="72"/>
        <v>0.1264</v>
      </c>
      <c r="AF189" s="43">
        <v>0</v>
      </c>
      <c r="AG189" s="44">
        <v>50</v>
      </c>
      <c r="AH189" s="44">
        <v>40</v>
      </c>
      <c r="AI189" s="45">
        <v>20</v>
      </c>
      <c r="AJ189" s="5">
        <f t="shared" si="68"/>
        <v>1641</v>
      </c>
      <c r="AK189" s="103" t="str">
        <f t="shared" si="73"/>
        <v>A</v>
      </c>
      <c r="AL189" s="862">
        <v>375</v>
      </c>
      <c r="AM189" s="458">
        <v>207.5</v>
      </c>
      <c r="AN189" s="295">
        <f t="shared" si="62"/>
        <v>1.8072289156626506</v>
      </c>
      <c r="AO189" s="145">
        <v>37</v>
      </c>
      <c r="AP189" s="85" t="s">
        <v>467</v>
      </c>
      <c r="AQ189" s="297">
        <v>85</v>
      </c>
      <c r="AR189" s="33">
        <v>0</v>
      </c>
      <c r="AS189" s="34">
        <v>0</v>
      </c>
      <c r="AT189" s="34">
        <v>10</v>
      </c>
      <c r="AU189" s="73">
        <v>0</v>
      </c>
      <c r="AV189" s="39">
        <v>190</v>
      </c>
      <c r="AW189" s="368">
        <v>125</v>
      </c>
      <c r="AX189" s="33">
        <v>0</v>
      </c>
      <c r="AY189" s="34">
        <v>0</v>
      </c>
      <c r="AZ189" s="34">
        <v>4</v>
      </c>
      <c r="BA189" s="84">
        <v>0</v>
      </c>
      <c r="BB189" s="586">
        <v>4.5</v>
      </c>
      <c r="BC189" s="590">
        <v>1.08911E-07</v>
      </c>
      <c r="BD189" s="588">
        <f t="shared" si="51"/>
        <v>209.94990091484408</v>
      </c>
      <c r="BE189" s="299"/>
      <c r="BF189" s="300"/>
      <c r="BG189" s="112"/>
      <c r="BH189" s="541"/>
      <c r="BI189" s="301">
        <v>1</v>
      </c>
      <c r="BJ189" s="696" t="s">
        <v>1476</v>
      </c>
      <c r="BK189" s="13" t="s">
        <v>207</v>
      </c>
      <c r="BL189" s="303" t="s">
        <v>1171</v>
      </c>
      <c r="BM189" s="86" t="s">
        <v>1795</v>
      </c>
      <c r="BN189" s="303" t="s">
        <v>104</v>
      </c>
      <c r="BO189" s="86"/>
      <c r="BP189" s="1" t="s">
        <v>1796</v>
      </c>
      <c r="BR189" s="1">
        <v>189</v>
      </c>
      <c r="BS189" s="21">
        <v>650</v>
      </c>
      <c r="BT189" s="605" t="s">
        <v>214</v>
      </c>
      <c r="BU189" s="610">
        <v>1</v>
      </c>
      <c r="BV189" s="600">
        <v>0</v>
      </c>
      <c r="BW189" s="415">
        <f t="shared" si="71"/>
        <v>3000</v>
      </c>
      <c r="BX189" s="329">
        <f>IF($F189&gt;0,$BW189*$D$208,"")</f>
        <v>3824.9999999999995</v>
      </c>
      <c r="BY189" s="329">
        <f>IF($F189&gt;1,$BX189*$D$209,"")</f>
        <v>4876.874999999999</v>
      </c>
      <c r="BZ189" s="329">
        <f>IF($F189&gt;2,$BY189*$D$210,"")</f>
      </c>
      <c r="CA189" s="329">
        <f>IF($F189&gt;3,$BZ189*$D$211,"")</f>
      </c>
      <c r="CB189" s="329">
        <f>IF($F189&gt;4,$CA189*$D$212,"")</f>
      </c>
      <c r="CC189" s="329">
        <f>IF($F189&gt;5,$CB189*$D$213,"")</f>
      </c>
      <c r="CD189" s="329">
        <f>IF($F189&gt;6,$CC189*$D$214,"")</f>
      </c>
      <c r="CE189" s="485" t="s">
        <v>238</v>
      </c>
      <c r="CF189" s="853" t="s">
        <v>919</v>
      </c>
      <c r="CG189" s="440" t="s">
        <v>1649</v>
      </c>
      <c r="CH189" s="305">
        <v>310000</v>
      </c>
      <c r="CI189" s="305">
        <f t="shared" si="63"/>
        <v>93000</v>
      </c>
      <c r="CJ189" s="306">
        <f t="shared" si="64"/>
        <v>217000</v>
      </c>
      <c r="CK189" s="307" t="e">
        <f>CJ189-#REF!</f>
        <v>#REF!</v>
      </c>
      <c r="CL189" s="592">
        <v>310000</v>
      </c>
      <c r="CM189" s="21">
        <f t="shared" si="52"/>
        <v>1</v>
      </c>
      <c r="CN189" s="21">
        <f t="shared" si="53"/>
        <v>3.3333333333333335</v>
      </c>
      <c r="CO189" s="54"/>
      <c r="CP189" s="625">
        <f t="shared" si="54"/>
        <v>130</v>
      </c>
      <c r="CQ189" s="626">
        <f t="shared" si="55"/>
        <v>110</v>
      </c>
      <c r="CR189" s="624" t="str">
        <f t="shared" si="56"/>
        <v>A</v>
      </c>
      <c r="CS189" s="634">
        <f t="shared" si="57"/>
        <v>125</v>
      </c>
      <c r="CT189" s="591">
        <f t="shared" si="67"/>
        <v>10250000</v>
      </c>
      <c r="CU189" s="591">
        <f aca="true" t="shared" si="74" ref="CU189:CU196">CS189*1.25*1.25</f>
        <v>195.3125</v>
      </c>
      <c r="CV189" s="591">
        <v>15000</v>
      </c>
      <c r="CW189" s="54"/>
      <c r="CX189" s="54"/>
      <c r="CY189" s="54"/>
      <c r="CZ189" s="54"/>
      <c r="DA189" s="54">
        <v>1.6875</v>
      </c>
      <c r="DB189" s="54">
        <v>6.25</v>
      </c>
      <c r="DC189" s="649">
        <f t="shared" si="58"/>
        <v>10.25</v>
      </c>
    </row>
    <row r="190" spans="1:107" ht="12.75">
      <c r="A190" s="416" t="s">
        <v>847</v>
      </c>
      <c r="B190" s="69" t="s">
        <v>616</v>
      </c>
      <c r="C190" s="315" t="s">
        <v>1042</v>
      </c>
      <c r="D190" s="413">
        <v>15</v>
      </c>
      <c r="E190" s="414" t="s">
        <v>498</v>
      </c>
      <c r="F190" s="15">
        <v>2</v>
      </c>
      <c r="G190" s="18">
        <v>4</v>
      </c>
      <c r="H190" s="17">
        <v>1</v>
      </c>
      <c r="I190" s="16">
        <v>0</v>
      </c>
      <c r="J190" s="187">
        <v>1</v>
      </c>
      <c r="K190" s="188">
        <v>3</v>
      </c>
      <c r="L190" s="868">
        <v>750</v>
      </c>
      <c r="M190" s="884">
        <v>55</v>
      </c>
      <c r="N190" s="339">
        <v>400</v>
      </c>
      <c r="O190" s="454">
        <v>0</v>
      </c>
      <c r="P190" s="531">
        <v>0</v>
      </c>
      <c r="Q190" s="340">
        <v>899</v>
      </c>
      <c r="R190" s="375">
        <v>3750</v>
      </c>
      <c r="S190" s="376">
        <f t="shared" si="66"/>
        <v>6096.09375</v>
      </c>
      <c r="T190" s="342">
        <v>11000</v>
      </c>
      <c r="U190" s="343">
        <v>245000</v>
      </c>
      <c r="V190" s="360">
        <v>20000</v>
      </c>
      <c r="W190" s="361">
        <v>1</v>
      </c>
      <c r="X190" s="340">
        <v>860</v>
      </c>
      <c r="Y190" s="43">
        <v>50</v>
      </c>
      <c r="Z190" s="44">
        <v>10</v>
      </c>
      <c r="AA190" s="44">
        <v>35</v>
      </c>
      <c r="AB190" s="49">
        <v>35</v>
      </c>
      <c r="AC190" s="345">
        <v>156</v>
      </c>
      <c r="AD190" s="312">
        <v>625</v>
      </c>
      <c r="AE190" s="292">
        <f t="shared" si="72"/>
        <v>0.2496</v>
      </c>
      <c r="AF190" s="43">
        <v>0</v>
      </c>
      <c r="AG190" s="44">
        <v>50</v>
      </c>
      <c r="AH190" s="44">
        <v>40</v>
      </c>
      <c r="AI190" s="45">
        <v>20</v>
      </c>
      <c r="AJ190" s="5">
        <f t="shared" si="68"/>
        <v>1915</v>
      </c>
      <c r="AK190" s="103" t="str">
        <f t="shared" si="73"/>
        <v>A</v>
      </c>
      <c r="AL190" s="862">
        <v>437</v>
      </c>
      <c r="AM190" s="458">
        <v>242.5</v>
      </c>
      <c r="AN190" s="295">
        <f t="shared" si="62"/>
        <v>1.8020618556701031</v>
      </c>
      <c r="AO190" s="145">
        <v>40</v>
      </c>
      <c r="AP190" s="85" t="s">
        <v>467</v>
      </c>
      <c r="AQ190" s="297">
        <v>65</v>
      </c>
      <c r="AR190" s="33">
        <v>0</v>
      </c>
      <c r="AS190" s="34">
        <v>0</v>
      </c>
      <c r="AT190" s="34">
        <v>10</v>
      </c>
      <c r="AU190" s="73">
        <v>0</v>
      </c>
      <c r="AV190" s="39">
        <v>210</v>
      </c>
      <c r="AW190" s="368">
        <v>120</v>
      </c>
      <c r="AX190" s="33">
        <v>0</v>
      </c>
      <c r="AY190" s="34">
        <v>0</v>
      </c>
      <c r="AZ190" s="34">
        <v>4</v>
      </c>
      <c r="BA190" s="84">
        <v>0</v>
      </c>
      <c r="BB190" s="586">
        <v>4.5</v>
      </c>
      <c r="BC190" s="590">
        <v>1.08911E-07</v>
      </c>
      <c r="BD190" s="588">
        <f t="shared" si="51"/>
        <v>227.98014392068254</v>
      </c>
      <c r="BE190" s="299"/>
      <c r="BF190" s="300"/>
      <c r="BG190" s="112"/>
      <c r="BH190" s="541"/>
      <c r="BI190" s="301">
        <v>2</v>
      </c>
      <c r="BJ190" s="696" t="s">
        <v>1476</v>
      </c>
      <c r="BK190" s="13" t="s">
        <v>207</v>
      </c>
      <c r="BL190" s="303" t="s">
        <v>1171</v>
      </c>
      <c r="BM190" s="86" t="s">
        <v>1795</v>
      </c>
      <c r="BN190" s="303" t="s">
        <v>104</v>
      </c>
      <c r="BO190" s="86"/>
      <c r="BP190" s="1" t="s">
        <v>1796</v>
      </c>
      <c r="BR190" s="1">
        <v>512</v>
      </c>
      <c r="BS190" s="21">
        <v>654</v>
      </c>
      <c r="BT190" s="605" t="s">
        <v>214</v>
      </c>
      <c r="BU190" s="610">
        <v>1</v>
      </c>
      <c r="BV190" s="600">
        <v>0</v>
      </c>
      <c r="BW190" s="415">
        <f t="shared" si="71"/>
        <v>3750</v>
      </c>
      <c r="BX190" s="329">
        <f>IF($F190&gt;0,$BW190*$D$208,"")</f>
        <v>4781.25</v>
      </c>
      <c r="BY190" s="329">
        <f>IF($F190&gt;1,$BX190*$D$209,"")</f>
        <v>6096.09375</v>
      </c>
      <c r="BZ190" s="329">
        <f>IF($F190&gt;2,$BY190*$D$210,"")</f>
      </c>
      <c r="CA190" s="329">
        <f>IF($F190&gt;3,$BZ190*$D$211,"")</f>
      </c>
      <c r="CB190" s="329">
        <f>IF($F190&gt;4,$CA190*$D$212,"")</f>
      </c>
      <c r="CC190" s="329">
        <f>IF($F190&gt;5,$CB190*$D$213,"")</f>
      </c>
      <c r="CD190" s="329">
        <f>IF($F190&gt;6,$CC190*$D$214,"")</f>
      </c>
      <c r="CE190" s="485" t="s">
        <v>239</v>
      </c>
      <c r="CF190" s="853" t="s">
        <v>919</v>
      </c>
      <c r="CG190" s="440" t="s">
        <v>834</v>
      </c>
      <c r="CH190" s="305">
        <v>342500</v>
      </c>
      <c r="CI190" s="305">
        <f t="shared" si="63"/>
        <v>102750</v>
      </c>
      <c r="CJ190" s="306">
        <f t="shared" si="64"/>
        <v>239750</v>
      </c>
      <c r="CK190" s="307" t="e">
        <f>CJ190-#REF!</f>
        <v>#REF!</v>
      </c>
      <c r="CL190" s="592">
        <v>342500</v>
      </c>
      <c r="CM190" s="21">
        <f t="shared" si="52"/>
        <v>1</v>
      </c>
      <c r="CN190" s="21">
        <f t="shared" si="53"/>
        <v>3.3333333333333335</v>
      </c>
      <c r="CO190" s="54"/>
      <c r="CP190" s="625">
        <f t="shared" si="54"/>
        <v>130</v>
      </c>
      <c r="CQ190" s="626">
        <f t="shared" si="55"/>
        <v>110</v>
      </c>
      <c r="CR190" s="624" t="str">
        <f t="shared" si="56"/>
        <v>A</v>
      </c>
      <c r="CS190" s="634">
        <f t="shared" si="57"/>
        <v>120</v>
      </c>
      <c r="CT190" s="591">
        <f t="shared" si="67"/>
        <v>11000000</v>
      </c>
      <c r="CU190" s="591">
        <f t="shared" si="74"/>
        <v>187.5</v>
      </c>
      <c r="CV190" s="591">
        <v>15000</v>
      </c>
      <c r="CW190" s="54"/>
      <c r="CX190" s="54"/>
      <c r="CY190" s="54"/>
      <c r="CZ190" s="54"/>
      <c r="DA190" s="54">
        <v>1.6875</v>
      </c>
      <c r="DB190" s="54">
        <v>6.25</v>
      </c>
      <c r="DC190" s="649">
        <f t="shared" si="58"/>
        <v>11</v>
      </c>
    </row>
    <row r="191" spans="1:107" ht="12.75">
      <c r="A191" s="389" t="s">
        <v>306</v>
      </c>
      <c r="B191" s="69" t="s">
        <v>307</v>
      </c>
      <c r="C191" s="315" t="s">
        <v>1042</v>
      </c>
      <c r="D191" s="413">
        <v>15</v>
      </c>
      <c r="E191" s="414" t="s">
        <v>498</v>
      </c>
      <c r="F191" s="15">
        <v>3</v>
      </c>
      <c r="G191" s="18">
        <v>3</v>
      </c>
      <c r="H191" s="17">
        <v>2</v>
      </c>
      <c r="I191" s="16">
        <v>0</v>
      </c>
      <c r="J191" s="187">
        <v>1</v>
      </c>
      <c r="K191" s="188">
        <v>3</v>
      </c>
      <c r="L191" s="868">
        <v>750</v>
      </c>
      <c r="M191" s="884">
        <v>75</v>
      </c>
      <c r="N191" s="339">
        <v>400</v>
      </c>
      <c r="O191" s="454">
        <v>0</v>
      </c>
      <c r="P191" s="531">
        <v>0</v>
      </c>
      <c r="Q191" s="340">
        <v>1329</v>
      </c>
      <c r="R191" s="375">
        <v>4875</v>
      </c>
      <c r="S191" s="376">
        <f t="shared" si="66"/>
        <v>10104.275390624998</v>
      </c>
      <c r="T191" s="342">
        <v>10500</v>
      </c>
      <c r="U191" s="343">
        <v>250000</v>
      </c>
      <c r="V191" s="360">
        <v>20000</v>
      </c>
      <c r="W191" s="361">
        <v>1</v>
      </c>
      <c r="X191" s="340">
        <v>1094</v>
      </c>
      <c r="Y191" s="43">
        <v>50</v>
      </c>
      <c r="Z191" s="44">
        <v>10</v>
      </c>
      <c r="AA191" s="44">
        <v>35</v>
      </c>
      <c r="AB191" s="49">
        <v>35</v>
      </c>
      <c r="AC191" s="345">
        <v>274</v>
      </c>
      <c r="AD191" s="312">
        <v>625</v>
      </c>
      <c r="AE191" s="292">
        <f t="shared" si="72"/>
        <v>0.4384</v>
      </c>
      <c r="AF191" s="43">
        <v>0</v>
      </c>
      <c r="AG191" s="44">
        <v>50</v>
      </c>
      <c r="AH191" s="44">
        <v>40</v>
      </c>
      <c r="AI191" s="45">
        <v>20</v>
      </c>
      <c r="AJ191" s="5">
        <f t="shared" si="68"/>
        <v>2697</v>
      </c>
      <c r="AK191" s="103" t="str">
        <f t="shared" si="73"/>
        <v>A</v>
      </c>
      <c r="AL191" s="862">
        <v>687</v>
      </c>
      <c r="AM191" s="458">
        <v>381.25</v>
      </c>
      <c r="AN191" s="295">
        <f t="shared" si="62"/>
        <v>1.8019672131147542</v>
      </c>
      <c r="AO191" s="145">
        <v>50</v>
      </c>
      <c r="AP191" s="85" t="s">
        <v>467</v>
      </c>
      <c r="AQ191" s="297">
        <v>70</v>
      </c>
      <c r="AR191" s="33">
        <v>0</v>
      </c>
      <c r="AS191" s="34">
        <v>0</v>
      </c>
      <c r="AT191" s="34">
        <v>11</v>
      </c>
      <c r="AU191" s="73">
        <v>0</v>
      </c>
      <c r="AV191" s="39">
        <v>200</v>
      </c>
      <c r="AW191" s="368">
        <v>115</v>
      </c>
      <c r="AX191" s="33">
        <v>0</v>
      </c>
      <c r="AY191" s="34">
        <v>0</v>
      </c>
      <c r="AZ191" s="34">
        <v>5</v>
      </c>
      <c r="BA191" s="84">
        <v>0</v>
      </c>
      <c r="BB191" s="586">
        <v>4.5</v>
      </c>
      <c r="BC191" s="590">
        <v>1.08911E-07</v>
      </c>
      <c r="BD191" s="588">
        <f t="shared" si="51"/>
        <v>375.47040375037545</v>
      </c>
      <c r="BE191" s="299"/>
      <c r="BF191" s="300"/>
      <c r="BG191" s="112"/>
      <c r="BH191" s="541"/>
      <c r="BI191" s="301">
        <v>3</v>
      </c>
      <c r="BJ191" s="696" t="s">
        <v>1476</v>
      </c>
      <c r="BK191" s="13" t="s">
        <v>207</v>
      </c>
      <c r="BL191" s="303" t="s">
        <v>1171</v>
      </c>
      <c r="BM191" s="86" t="s">
        <v>1795</v>
      </c>
      <c r="BN191" s="303" t="s">
        <v>104</v>
      </c>
      <c r="BO191" s="86"/>
      <c r="BP191" s="1" t="s">
        <v>1796</v>
      </c>
      <c r="BR191" s="1">
        <v>566</v>
      </c>
      <c r="BS191" s="21">
        <v>655</v>
      </c>
      <c r="BT191" s="605" t="s">
        <v>214</v>
      </c>
      <c r="BU191" s="610">
        <v>1</v>
      </c>
      <c r="BV191" s="600">
        <v>0</v>
      </c>
      <c r="BW191" s="415">
        <f t="shared" si="71"/>
        <v>4875</v>
      </c>
      <c r="BX191" s="329">
        <f>IF($F191&gt;0,$BW191*$D$208,"")</f>
        <v>6215.625</v>
      </c>
      <c r="BY191" s="329">
        <f>IF($F191&gt;1,$BX191*$D$209,"")</f>
        <v>7924.921874999999</v>
      </c>
      <c r="BZ191" s="329">
        <f>IF($F191&gt;2,$BY191*$D$210,"")</f>
        <v>10104.275390624998</v>
      </c>
      <c r="CA191" s="329">
        <f>IF($F191&gt;3,$BZ191*$D$211,"")</f>
      </c>
      <c r="CB191" s="329">
        <f>IF($F191&gt;4,$CA191*$D$212,"")</f>
      </c>
      <c r="CC191" s="329">
        <f>IF($F191&gt;5,$CB191*$D$213,"")</f>
      </c>
      <c r="CD191" s="329">
        <f>IF($F191&gt;6,$CC191*$D$214,"")</f>
      </c>
      <c r="CE191" s="485" t="s">
        <v>240</v>
      </c>
      <c r="CF191" s="853" t="s">
        <v>919</v>
      </c>
      <c r="CG191" s="440" t="s">
        <v>835</v>
      </c>
      <c r="CH191" s="305">
        <v>600000</v>
      </c>
      <c r="CI191" s="305">
        <f t="shared" si="63"/>
        <v>180000</v>
      </c>
      <c r="CJ191" s="306">
        <f t="shared" si="64"/>
        <v>420000</v>
      </c>
      <c r="CK191" s="307" t="e">
        <f>CJ191-#REF!</f>
        <v>#REF!</v>
      </c>
      <c r="CL191" s="592">
        <v>600000</v>
      </c>
      <c r="CM191" s="21">
        <f t="shared" si="52"/>
        <v>1</v>
      </c>
      <c r="CN191" s="21">
        <f t="shared" si="53"/>
        <v>3.3333333333333335</v>
      </c>
      <c r="CO191" s="54"/>
      <c r="CP191" s="625">
        <f t="shared" si="54"/>
        <v>130</v>
      </c>
      <c r="CQ191" s="626">
        <f t="shared" si="55"/>
        <v>110</v>
      </c>
      <c r="CR191" s="624" t="str">
        <f t="shared" si="56"/>
        <v>A</v>
      </c>
      <c r="CS191" s="634">
        <f t="shared" si="57"/>
        <v>115</v>
      </c>
      <c r="CT191" s="591">
        <f t="shared" si="67"/>
        <v>10500000</v>
      </c>
      <c r="CU191" s="591">
        <f t="shared" si="74"/>
        <v>179.6875</v>
      </c>
      <c r="CV191" s="591">
        <v>15000</v>
      </c>
      <c r="CW191" s="54"/>
      <c r="CX191" s="54"/>
      <c r="CY191" s="54"/>
      <c r="CZ191" s="54"/>
      <c r="DA191" s="54">
        <v>1.6875</v>
      </c>
      <c r="DB191" s="54">
        <v>6.25</v>
      </c>
      <c r="DC191" s="649">
        <f t="shared" si="58"/>
        <v>10.5</v>
      </c>
    </row>
    <row r="192" spans="1:107" ht="12.75">
      <c r="A192" s="389" t="s">
        <v>309</v>
      </c>
      <c r="B192" s="69" t="s">
        <v>1130</v>
      </c>
      <c r="C192" s="315" t="s">
        <v>1042</v>
      </c>
      <c r="D192" s="413">
        <v>15</v>
      </c>
      <c r="E192" s="414" t="s">
        <v>498</v>
      </c>
      <c r="F192" s="15">
        <v>3</v>
      </c>
      <c r="G192" s="18">
        <v>4</v>
      </c>
      <c r="H192" s="17">
        <v>1</v>
      </c>
      <c r="I192" s="16">
        <v>0</v>
      </c>
      <c r="J192" s="187">
        <v>1</v>
      </c>
      <c r="K192" s="188">
        <v>3</v>
      </c>
      <c r="L192" s="868">
        <v>750</v>
      </c>
      <c r="M192" s="884">
        <v>70</v>
      </c>
      <c r="N192" s="339">
        <v>400</v>
      </c>
      <c r="O192" s="454">
        <v>0</v>
      </c>
      <c r="P192" s="531">
        <v>0</v>
      </c>
      <c r="Q192" s="340">
        <v>1173</v>
      </c>
      <c r="R192" s="375">
        <v>5250</v>
      </c>
      <c r="S192" s="376">
        <f t="shared" si="66"/>
        <v>10881.527343749996</v>
      </c>
      <c r="T192" s="342">
        <v>11250</v>
      </c>
      <c r="U192" s="343">
        <v>265000</v>
      </c>
      <c r="V192" s="360">
        <v>20000</v>
      </c>
      <c r="W192" s="361">
        <v>1</v>
      </c>
      <c r="X192" s="340">
        <v>1016</v>
      </c>
      <c r="Y192" s="43">
        <v>50</v>
      </c>
      <c r="Z192" s="44">
        <v>10</v>
      </c>
      <c r="AA192" s="44">
        <v>35</v>
      </c>
      <c r="AB192" s="49">
        <v>35</v>
      </c>
      <c r="AC192" s="345">
        <v>235</v>
      </c>
      <c r="AD192" s="312">
        <v>625</v>
      </c>
      <c r="AE192" s="292">
        <f t="shared" si="72"/>
        <v>0.376</v>
      </c>
      <c r="AF192" s="43">
        <v>0</v>
      </c>
      <c r="AG192" s="44">
        <v>50</v>
      </c>
      <c r="AH192" s="44">
        <v>40</v>
      </c>
      <c r="AI192" s="45">
        <v>20</v>
      </c>
      <c r="AJ192" s="5">
        <f t="shared" si="68"/>
        <v>2424</v>
      </c>
      <c r="AK192" s="103" t="str">
        <f t="shared" si="73"/>
        <v>A</v>
      </c>
      <c r="AL192" s="862">
        <v>500</v>
      </c>
      <c r="AM192" s="458">
        <v>277.5</v>
      </c>
      <c r="AN192" s="295">
        <f t="shared" si="62"/>
        <v>1.8018018018018018</v>
      </c>
      <c r="AO192" s="145">
        <v>47</v>
      </c>
      <c r="AP192" s="85" t="s">
        <v>467</v>
      </c>
      <c r="AQ192" s="297">
        <v>65</v>
      </c>
      <c r="AR192" s="33">
        <v>0</v>
      </c>
      <c r="AS192" s="34">
        <v>0</v>
      </c>
      <c r="AT192" s="34">
        <v>11</v>
      </c>
      <c r="AU192" s="73">
        <v>0</v>
      </c>
      <c r="AV192" s="39">
        <v>220</v>
      </c>
      <c r="AW192" s="368">
        <v>120</v>
      </c>
      <c r="AX192" s="33">
        <v>0</v>
      </c>
      <c r="AY192" s="34">
        <v>0</v>
      </c>
      <c r="AZ192" s="34">
        <v>5</v>
      </c>
      <c r="BA192" s="84">
        <v>0</v>
      </c>
      <c r="BB192" s="586">
        <v>4.5</v>
      </c>
      <c r="BC192" s="590">
        <v>1.08911E-07</v>
      </c>
      <c r="BD192" s="588">
        <f t="shared" si="51"/>
        <v>255.05025000025506</v>
      </c>
      <c r="BE192" s="299"/>
      <c r="BF192" s="300"/>
      <c r="BG192" s="112"/>
      <c r="BH192" s="541"/>
      <c r="BI192" s="301">
        <v>4</v>
      </c>
      <c r="BJ192" s="696" t="s">
        <v>1476</v>
      </c>
      <c r="BK192" s="13" t="s">
        <v>207</v>
      </c>
      <c r="BL192" s="303" t="s">
        <v>1171</v>
      </c>
      <c r="BM192" s="86" t="s">
        <v>1795</v>
      </c>
      <c r="BN192" s="303" t="s">
        <v>104</v>
      </c>
      <c r="BO192" s="86"/>
      <c r="BP192" s="1" t="s">
        <v>1796</v>
      </c>
      <c r="BR192" s="1">
        <v>306</v>
      </c>
      <c r="BS192" s="21">
        <v>656</v>
      </c>
      <c r="BT192" s="605" t="s">
        <v>214</v>
      </c>
      <c r="BU192" s="610">
        <v>1</v>
      </c>
      <c r="BV192" s="600">
        <v>0</v>
      </c>
      <c r="BW192" s="415">
        <f t="shared" si="71"/>
        <v>5250</v>
      </c>
      <c r="BX192" s="329">
        <f>IF($F192&gt;0,$BW192*$D$208,"")</f>
        <v>6693.749999999999</v>
      </c>
      <c r="BY192" s="329">
        <f>IF($F192&gt;1,$BX192*$D$209,"")</f>
        <v>8534.531249999998</v>
      </c>
      <c r="BZ192" s="329">
        <f>IF($F192&gt;2,$BY192*$D$210,"")</f>
        <v>10881.527343749996</v>
      </c>
      <c r="CA192" s="329">
        <f>IF($F192&gt;3,$BZ192*$D$211,"")</f>
      </c>
      <c r="CB192" s="329">
        <f>IF($F192&gt;4,$CA192*$D$212,"")</f>
      </c>
      <c r="CC192" s="329">
        <f>IF($F192&gt;5,$CB192*$D$213,"")</f>
      </c>
      <c r="CD192" s="329">
        <f>IF($F192&gt;6,$CC192*$D$214,"")</f>
      </c>
      <c r="CE192" s="485" t="s">
        <v>241</v>
      </c>
      <c r="CF192" s="853" t="s">
        <v>919</v>
      </c>
      <c r="CG192" s="440" t="s">
        <v>1310</v>
      </c>
      <c r="CH192" s="305">
        <v>428750</v>
      </c>
      <c r="CI192" s="305">
        <f t="shared" si="63"/>
        <v>128625</v>
      </c>
      <c r="CJ192" s="306">
        <f t="shared" si="64"/>
        <v>300125</v>
      </c>
      <c r="CK192" s="307" t="e">
        <f>CJ192-#REF!</f>
        <v>#REF!</v>
      </c>
      <c r="CL192" s="592">
        <v>428750</v>
      </c>
      <c r="CM192" s="21">
        <f t="shared" si="52"/>
        <v>1</v>
      </c>
      <c r="CN192" s="21">
        <f t="shared" si="53"/>
        <v>3.3333333333333335</v>
      </c>
      <c r="CO192" s="54"/>
      <c r="CP192" s="625">
        <f t="shared" si="54"/>
        <v>130</v>
      </c>
      <c r="CQ192" s="626">
        <f t="shared" si="55"/>
        <v>110</v>
      </c>
      <c r="CR192" s="624" t="str">
        <f t="shared" si="56"/>
        <v>A</v>
      </c>
      <c r="CS192" s="634">
        <f t="shared" si="57"/>
        <v>120</v>
      </c>
      <c r="CT192" s="591">
        <f t="shared" si="67"/>
        <v>11250000</v>
      </c>
      <c r="CU192" s="591">
        <f t="shared" si="74"/>
        <v>187.5</v>
      </c>
      <c r="CV192" s="591">
        <v>15000</v>
      </c>
      <c r="CW192" s="54"/>
      <c r="CX192" s="54"/>
      <c r="CY192" s="54"/>
      <c r="CZ192" s="54"/>
      <c r="DA192" s="54">
        <v>1.6875</v>
      </c>
      <c r="DB192" s="54">
        <v>6.25</v>
      </c>
      <c r="DC192" s="649">
        <f t="shared" si="58"/>
        <v>11.25</v>
      </c>
    </row>
    <row r="193" spans="1:107" ht="12.75">
      <c r="A193" s="389" t="s">
        <v>536</v>
      </c>
      <c r="B193" s="69" t="s">
        <v>537</v>
      </c>
      <c r="C193" s="315" t="s">
        <v>1042</v>
      </c>
      <c r="D193" s="413">
        <v>15</v>
      </c>
      <c r="E193" s="414" t="s">
        <v>498</v>
      </c>
      <c r="F193" s="15">
        <v>5</v>
      </c>
      <c r="G193" s="18">
        <v>5</v>
      </c>
      <c r="H193" s="17">
        <v>2</v>
      </c>
      <c r="I193" s="16">
        <v>0</v>
      </c>
      <c r="J193" s="187">
        <v>1</v>
      </c>
      <c r="K193" s="188">
        <v>3</v>
      </c>
      <c r="L193" s="868">
        <v>850</v>
      </c>
      <c r="M193" s="884">
        <v>85</v>
      </c>
      <c r="N193" s="339">
        <v>400</v>
      </c>
      <c r="O193" s="454">
        <v>0</v>
      </c>
      <c r="P193" s="531">
        <v>0</v>
      </c>
      <c r="Q193" s="340">
        <v>1485</v>
      </c>
      <c r="R193" s="375">
        <v>6000</v>
      </c>
      <c r="S193" s="376">
        <f t="shared" si="66"/>
        <v>20216.32330078124</v>
      </c>
      <c r="T193" s="342">
        <v>11750</v>
      </c>
      <c r="U193" s="343">
        <v>275000</v>
      </c>
      <c r="V193" s="360">
        <v>20000</v>
      </c>
      <c r="W193" s="361">
        <v>1</v>
      </c>
      <c r="X193" s="340">
        <v>1368</v>
      </c>
      <c r="Y193" s="43">
        <v>50</v>
      </c>
      <c r="Z193" s="44">
        <v>10</v>
      </c>
      <c r="AA193" s="44">
        <v>35</v>
      </c>
      <c r="AB193" s="49">
        <v>35</v>
      </c>
      <c r="AC193" s="345">
        <v>469</v>
      </c>
      <c r="AD193" s="312">
        <v>625</v>
      </c>
      <c r="AE193" s="292">
        <f t="shared" si="72"/>
        <v>0.7504</v>
      </c>
      <c r="AF193" s="43">
        <v>0</v>
      </c>
      <c r="AG193" s="44">
        <v>50</v>
      </c>
      <c r="AH193" s="44">
        <v>40</v>
      </c>
      <c r="AI193" s="45">
        <v>20</v>
      </c>
      <c r="AJ193" s="5">
        <f t="shared" si="68"/>
        <v>3322</v>
      </c>
      <c r="AK193" s="103" t="str">
        <f t="shared" si="73"/>
        <v>A</v>
      </c>
      <c r="AL193" s="862">
        <v>750</v>
      </c>
      <c r="AM193" s="458">
        <v>416.25</v>
      </c>
      <c r="AN193" s="295">
        <f t="shared" si="62"/>
        <v>1.8018018018018018</v>
      </c>
      <c r="AO193" s="145">
        <v>52</v>
      </c>
      <c r="AP193" s="85" t="s">
        <v>467</v>
      </c>
      <c r="AQ193" s="297">
        <v>55</v>
      </c>
      <c r="AR193" s="33">
        <v>0</v>
      </c>
      <c r="AS193" s="34">
        <v>0</v>
      </c>
      <c r="AT193" s="34">
        <v>12</v>
      </c>
      <c r="AU193" s="73">
        <v>0</v>
      </c>
      <c r="AV193" s="39">
        <v>230</v>
      </c>
      <c r="AW193" s="368">
        <v>110</v>
      </c>
      <c r="AX193" s="33">
        <v>0</v>
      </c>
      <c r="AY193" s="34">
        <v>0</v>
      </c>
      <c r="AZ193" s="34">
        <v>6</v>
      </c>
      <c r="BA193" s="84">
        <v>0</v>
      </c>
      <c r="BB193" s="586">
        <v>4.5</v>
      </c>
      <c r="BC193" s="590">
        <v>1.08911E-07</v>
      </c>
      <c r="BD193" s="588">
        <f t="shared" si="51"/>
        <v>366.29557180887696</v>
      </c>
      <c r="BE193" s="299"/>
      <c r="BF193" s="300"/>
      <c r="BG193" s="112"/>
      <c r="BH193" s="541"/>
      <c r="BI193" s="301">
        <v>5</v>
      </c>
      <c r="BJ193" s="696" t="s">
        <v>1476</v>
      </c>
      <c r="BK193" s="13" t="s">
        <v>207</v>
      </c>
      <c r="BL193" s="303" t="s">
        <v>1171</v>
      </c>
      <c r="BM193" s="86" t="s">
        <v>1795</v>
      </c>
      <c r="BN193" s="303" t="s">
        <v>104</v>
      </c>
      <c r="BO193" s="86"/>
      <c r="BP193" s="1" t="s">
        <v>1796</v>
      </c>
      <c r="BR193" s="1">
        <v>1106</v>
      </c>
      <c r="BS193" s="21">
        <v>657</v>
      </c>
      <c r="BT193" s="605" t="s">
        <v>214</v>
      </c>
      <c r="BU193" s="610">
        <v>1</v>
      </c>
      <c r="BV193" s="600">
        <v>0</v>
      </c>
      <c r="BW193" s="415">
        <f t="shared" si="71"/>
        <v>6000</v>
      </c>
      <c r="BX193" s="329">
        <f>IF($F193&gt;0,$BW193*$D$208,"")</f>
        <v>7649.999999999999</v>
      </c>
      <c r="BY193" s="329">
        <f>IF($F193&gt;1,$BX193*$D$209,"")</f>
        <v>9753.749999999998</v>
      </c>
      <c r="BZ193" s="329">
        <f>IF($F193&gt;2,$BY193*$D$210,"")</f>
        <v>12436.031249999996</v>
      </c>
      <c r="CA193" s="329">
        <f>IF($F193&gt;3,$BZ193*$D$211,"")</f>
        <v>15855.939843749995</v>
      </c>
      <c r="CB193" s="329">
        <f>IF($F193&gt;4,$CA193*$D$212,"")</f>
        <v>20216.32330078124</v>
      </c>
      <c r="CC193" s="329">
        <f>IF($F193&gt;5,$CB193*$D$213,"")</f>
      </c>
      <c r="CD193" s="329">
        <f>IF($F193&gt;6,$CC193*$D$214,"")</f>
      </c>
      <c r="CE193" s="485" t="s">
        <v>242</v>
      </c>
      <c r="CF193" s="853" t="s">
        <v>919</v>
      </c>
      <c r="CG193" s="440" t="s">
        <v>1311</v>
      </c>
      <c r="CH193" s="305">
        <v>1125000</v>
      </c>
      <c r="CI193" s="305">
        <f t="shared" si="63"/>
        <v>337500</v>
      </c>
      <c r="CJ193" s="306">
        <f t="shared" si="64"/>
        <v>787500</v>
      </c>
      <c r="CK193" s="307" t="e">
        <f>CJ193-#REF!</f>
        <v>#REF!</v>
      </c>
      <c r="CL193" s="592">
        <v>1125000</v>
      </c>
      <c r="CM193" s="21">
        <f t="shared" si="52"/>
        <v>1</v>
      </c>
      <c r="CN193" s="21">
        <f t="shared" si="53"/>
        <v>3.3333333333333335</v>
      </c>
      <c r="CO193" s="54"/>
      <c r="CP193" s="625">
        <f t="shared" si="54"/>
        <v>130</v>
      </c>
      <c r="CQ193" s="626">
        <f t="shared" si="55"/>
        <v>110</v>
      </c>
      <c r="CR193" s="624" t="str">
        <f t="shared" si="56"/>
        <v>A</v>
      </c>
      <c r="CS193" s="634">
        <f t="shared" si="57"/>
        <v>110</v>
      </c>
      <c r="CT193" s="591">
        <f t="shared" si="67"/>
        <v>11750000</v>
      </c>
      <c r="CU193" s="591">
        <f t="shared" si="74"/>
        <v>171.875</v>
      </c>
      <c r="CV193" s="591">
        <v>15000</v>
      </c>
      <c r="CW193" s="54"/>
      <c r="CX193" s="54"/>
      <c r="CY193" s="54"/>
      <c r="CZ193" s="54"/>
      <c r="DA193" s="54">
        <v>1.6875</v>
      </c>
      <c r="DB193" s="54">
        <v>6.25</v>
      </c>
      <c r="DC193" s="649">
        <f t="shared" si="58"/>
        <v>11.75</v>
      </c>
    </row>
    <row r="194" spans="1:107" ht="12.75">
      <c r="A194" s="24" t="s">
        <v>1038</v>
      </c>
      <c r="B194" s="69" t="s">
        <v>1038</v>
      </c>
      <c r="C194" s="319" t="s">
        <v>99</v>
      </c>
      <c r="D194" s="413">
        <v>15</v>
      </c>
      <c r="E194" s="414" t="s">
        <v>498</v>
      </c>
      <c r="F194" s="15">
        <v>3</v>
      </c>
      <c r="G194" s="18">
        <v>3</v>
      </c>
      <c r="H194" s="17">
        <v>1</v>
      </c>
      <c r="I194" s="16">
        <v>0</v>
      </c>
      <c r="J194" s="187">
        <v>1</v>
      </c>
      <c r="K194" s="188">
        <v>3</v>
      </c>
      <c r="L194" s="868">
        <v>650</v>
      </c>
      <c r="M194" s="884">
        <v>60</v>
      </c>
      <c r="N194" s="339">
        <v>400</v>
      </c>
      <c r="O194" s="454">
        <v>0</v>
      </c>
      <c r="P194" s="531">
        <v>0</v>
      </c>
      <c r="Q194" s="340">
        <v>1016</v>
      </c>
      <c r="R194" s="375">
        <v>5100</v>
      </c>
      <c r="S194" s="376">
        <f t="shared" si="66"/>
        <v>10570.6265625</v>
      </c>
      <c r="T194" s="342">
        <v>11500</v>
      </c>
      <c r="U194" s="343">
        <v>240000</v>
      </c>
      <c r="V194" s="360">
        <v>20000</v>
      </c>
      <c r="W194" s="361">
        <v>1</v>
      </c>
      <c r="X194" s="340">
        <v>1016</v>
      </c>
      <c r="Y194" s="43">
        <v>60</v>
      </c>
      <c r="Z194" s="44">
        <v>10</v>
      </c>
      <c r="AA194" s="44">
        <v>25</v>
      </c>
      <c r="AB194" s="49">
        <v>35</v>
      </c>
      <c r="AC194" s="345">
        <v>274</v>
      </c>
      <c r="AD194" s="312">
        <v>625</v>
      </c>
      <c r="AE194" s="292">
        <f t="shared" si="72"/>
        <v>0.4384</v>
      </c>
      <c r="AF194" s="43">
        <v>0</v>
      </c>
      <c r="AG194" s="44">
        <v>50</v>
      </c>
      <c r="AH194" s="44">
        <v>40</v>
      </c>
      <c r="AI194" s="45">
        <v>20</v>
      </c>
      <c r="AJ194" s="5">
        <f t="shared" si="68"/>
        <v>2306</v>
      </c>
      <c r="AK194" s="103" t="str">
        <f t="shared" si="73"/>
        <v>A</v>
      </c>
      <c r="AL194" s="862">
        <v>500</v>
      </c>
      <c r="AM194" s="458">
        <v>277.5</v>
      </c>
      <c r="AN194" s="295">
        <f t="shared" si="62"/>
        <v>1.8018018018018018</v>
      </c>
      <c r="AO194" s="145">
        <v>40</v>
      </c>
      <c r="AP194" s="85" t="s">
        <v>467</v>
      </c>
      <c r="AQ194" s="297">
        <v>90</v>
      </c>
      <c r="AR194" s="33">
        <v>0</v>
      </c>
      <c r="AS194" s="34">
        <v>0</v>
      </c>
      <c r="AT194" s="34">
        <v>0</v>
      </c>
      <c r="AU194" s="73">
        <v>7</v>
      </c>
      <c r="AV194" s="39">
        <v>180</v>
      </c>
      <c r="AW194" s="368">
        <v>120</v>
      </c>
      <c r="AX194" s="33">
        <v>0</v>
      </c>
      <c r="AY194" s="34">
        <v>0</v>
      </c>
      <c r="AZ194" s="34">
        <v>0</v>
      </c>
      <c r="BA194" s="84">
        <v>5</v>
      </c>
      <c r="BB194" s="586">
        <v>4.5</v>
      </c>
      <c r="BC194" s="590">
        <v>1.08911E-07</v>
      </c>
      <c r="BD194" s="588">
        <f t="shared" si="51"/>
        <v>249.5056793480756</v>
      </c>
      <c r="BE194" s="299"/>
      <c r="BF194" s="300"/>
      <c r="BG194" s="112"/>
      <c r="BH194" s="541"/>
      <c r="BI194" s="301">
        <v>2</v>
      </c>
      <c r="BJ194" s="696" t="s">
        <v>1476</v>
      </c>
      <c r="BK194" s="13" t="s">
        <v>207</v>
      </c>
      <c r="BL194" s="303" t="s">
        <v>1171</v>
      </c>
      <c r="BM194" s="86" t="s">
        <v>1705</v>
      </c>
      <c r="BN194" s="303" t="s">
        <v>104</v>
      </c>
      <c r="BO194" s="86"/>
      <c r="BP194" s="1" t="s">
        <v>1706</v>
      </c>
      <c r="BR194" s="1">
        <v>432</v>
      </c>
      <c r="BS194" s="21">
        <v>651</v>
      </c>
      <c r="BT194" s="605" t="s">
        <v>214</v>
      </c>
      <c r="BU194" s="610">
        <v>1</v>
      </c>
      <c r="BV194" s="600">
        <v>0</v>
      </c>
      <c r="BW194" s="415">
        <f t="shared" si="71"/>
        <v>5100</v>
      </c>
      <c r="BX194" s="329">
        <f>IF($F194&gt;0,$BW194*$D$208,"")</f>
        <v>6502.5</v>
      </c>
      <c r="BY194" s="329">
        <f>IF($F194&gt;1,$BX194*$D$209,"")</f>
        <v>8290.6875</v>
      </c>
      <c r="BZ194" s="329">
        <f>IF($F194&gt;2,$BY194*$D$210,"")</f>
        <v>10570.6265625</v>
      </c>
      <c r="CA194" s="329">
        <f>IF($F194&gt;3,$BZ194*$D$211,"")</f>
      </c>
      <c r="CB194" s="329">
        <f>IF($F194&gt;4,$CA194*$D$212,"")</f>
      </c>
      <c r="CC194" s="329">
        <f>IF($F194&gt;5,$CB194*$D$213,"")</f>
      </c>
      <c r="CD194" s="329">
        <f>IF($F194&gt;6,$CC194*$D$214,"")</f>
      </c>
      <c r="CE194" s="485" t="s">
        <v>243</v>
      </c>
      <c r="CF194" s="853" t="s">
        <v>919</v>
      </c>
      <c r="CG194" s="440" t="s">
        <v>57</v>
      </c>
      <c r="CH194" s="305">
        <v>452500</v>
      </c>
      <c r="CI194" s="305">
        <f t="shared" si="63"/>
        <v>135750</v>
      </c>
      <c r="CJ194" s="306">
        <f t="shared" si="64"/>
        <v>316750</v>
      </c>
      <c r="CK194" s="307" t="e">
        <f>CJ194-#REF!</f>
        <v>#REF!</v>
      </c>
      <c r="CL194" s="592">
        <v>452500</v>
      </c>
      <c r="CM194" s="21">
        <f t="shared" si="52"/>
        <v>1</v>
      </c>
      <c r="CN194" s="21">
        <f t="shared" si="53"/>
        <v>3.3333333333333335</v>
      </c>
      <c r="CO194" s="54"/>
      <c r="CP194" s="625">
        <f t="shared" si="54"/>
        <v>130</v>
      </c>
      <c r="CQ194" s="626">
        <f t="shared" si="55"/>
        <v>110</v>
      </c>
      <c r="CR194" s="624" t="str">
        <f t="shared" si="56"/>
        <v>A</v>
      </c>
      <c r="CS194" s="634">
        <f t="shared" si="57"/>
        <v>120</v>
      </c>
      <c r="CT194" s="591">
        <f t="shared" si="67"/>
        <v>11500000</v>
      </c>
      <c r="CU194" s="591">
        <f t="shared" si="74"/>
        <v>187.5</v>
      </c>
      <c r="CV194" s="591">
        <v>15000</v>
      </c>
      <c r="CW194" s="54"/>
      <c r="CX194" s="54"/>
      <c r="CY194" s="54"/>
      <c r="CZ194" s="54"/>
      <c r="DA194" s="54">
        <v>1.6875</v>
      </c>
      <c r="DB194" s="54">
        <v>6.25</v>
      </c>
      <c r="DC194" s="649">
        <f t="shared" si="58"/>
        <v>11.5</v>
      </c>
    </row>
    <row r="195" spans="1:107" ht="12.75">
      <c r="A195" s="24" t="s">
        <v>1520</v>
      </c>
      <c r="B195" s="69" t="s">
        <v>1520</v>
      </c>
      <c r="C195" s="319" t="s">
        <v>99</v>
      </c>
      <c r="D195" s="413">
        <v>15</v>
      </c>
      <c r="E195" s="414" t="s">
        <v>498</v>
      </c>
      <c r="F195" s="15">
        <v>4</v>
      </c>
      <c r="G195" s="18">
        <v>5</v>
      </c>
      <c r="H195" s="17">
        <v>2</v>
      </c>
      <c r="I195" s="16">
        <v>0</v>
      </c>
      <c r="J195" s="187">
        <v>1</v>
      </c>
      <c r="K195" s="188">
        <v>3</v>
      </c>
      <c r="L195" s="868">
        <v>750</v>
      </c>
      <c r="M195" s="884">
        <v>80</v>
      </c>
      <c r="N195" s="339">
        <v>400</v>
      </c>
      <c r="O195" s="454">
        <v>0</v>
      </c>
      <c r="P195" s="531">
        <v>0</v>
      </c>
      <c r="Q195" s="340">
        <v>1173</v>
      </c>
      <c r="R195" s="375">
        <v>5625</v>
      </c>
      <c r="S195" s="376">
        <f t="shared" si="66"/>
        <v>14864.94360351562</v>
      </c>
      <c r="T195" s="342">
        <v>12500</v>
      </c>
      <c r="U195" s="343">
        <v>255000</v>
      </c>
      <c r="V195" s="360">
        <v>20000</v>
      </c>
      <c r="W195" s="361">
        <v>1</v>
      </c>
      <c r="X195" s="340">
        <v>1094</v>
      </c>
      <c r="Y195" s="43">
        <v>60</v>
      </c>
      <c r="Z195" s="44">
        <v>10</v>
      </c>
      <c r="AA195" s="44">
        <v>25</v>
      </c>
      <c r="AB195" s="49">
        <v>35</v>
      </c>
      <c r="AC195" s="345">
        <v>391</v>
      </c>
      <c r="AD195" s="312">
        <v>625</v>
      </c>
      <c r="AE195" s="292">
        <f t="shared" si="72"/>
        <v>0.6256</v>
      </c>
      <c r="AF195" s="43">
        <v>0</v>
      </c>
      <c r="AG195" s="44">
        <v>50</v>
      </c>
      <c r="AH195" s="44">
        <v>40</v>
      </c>
      <c r="AI195" s="45">
        <v>20</v>
      </c>
      <c r="AJ195" s="5">
        <f t="shared" si="68"/>
        <v>2658</v>
      </c>
      <c r="AK195" s="103" t="str">
        <f t="shared" si="73"/>
        <v>A</v>
      </c>
      <c r="AL195" s="862">
        <v>562</v>
      </c>
      <c r="AM195" s="458">
        <v>312.5</v>
      </c>
      <c r="AN195" s="295">
        <f t="shared" si="62"/>
        <v>1.7984</v>
      </c>
      <c r="AO195" s="145">
        <v>45</v>
      </c>
      <c r="AP195" s="85" t="s">
        <v>467</v>
      </c>
      <c r="AQ195" s="297">
        <v>85</v>
      </c>
      <c r="AR195" s="33">
        <v>0</v>
      </c>
      <c r="AS195" s="34">
        <v>0</v>
      </c>
      <c r="AT195" s="34">
        <v>0</v>
      </c>
      <c r="AU195" s="73">
        <v>8</v>
      </c>
      <c r="AV195" s="39">
        <v>200</v>
      </c>
      <c r="AW195" s="368">
        <v>110</v>
      </c>
      <c r="AX195" s="33">
        <v>0</v>
      </c>
      <c r="AY195" s="34">
        <v>0</v>
      </c>
      <c r="AZ195" s="34">
        <v>0</v>
      </c>
      <c r="BA195" s="84">
        <v>6</v>
      </c>
      <c r="BB195" s="586">
        <v>4.5</v>
      </c>
      <c r="BC195" s="590">
        <v>1.08911E-07</v>
      </c>
      <c r="BD195" s="588">
        <f t="shared" si="51"/>
        <v>258.008832900258</v>
      </c>
      <c r="BE195" s="299"/>
      <c r="BF195" s="300"/>
      <c r="BG195" s="112"/>
      <c r="BH195" s="541"/>
      <c r="BI195" s="301">
        <v>3</v>
      </c>
      <c r="BJ195" s="696" t="s">
        <v>1476</v>
      </c>
      <c r="BK195" s="13" t="s">
        <v>207</v>
      </c>
      <c r="BL195" s="303" t="s">
        <v>1171</v>
      </c>
      <c r="BM195" s="86" t="s">
        <v>1239</v>
      </c>
      <c r="BN195" s="303" t="s">
        <v>104</v>
      </c>
      <c r="BO195" s="86"/>
      <c r="BP195" s="1" t="s">
        <v>1240</v>
      </c>
      <c r="BR195" s="1">
        <v>1320</v>
      </c>
      <c r="BS195" s="21">
        <v>652</v>
      </c>
      <c r="BT195" s="605" t="s">
        <v>214</v>
      </c>
      <c r="BU195" s="610">
        <v>1</v>
      </c>
      <c r="BV195" s="600">
        <v>0</v>
      </c>
      <c r="BW195" s="415">
        <f t="shared" si="71"/>
        <v>5625</v>
      </c>
      <c r="BX195" s="329">
        <f>IF($F195&gt;0,$BW195*$D$208,"")</f>
        <v>7171.874999999999</v>
      </c>
      <c r="BY195" s="329">
        <f>IF($F195&gt;1,$BX195*$D$209,"")</f>
        <v>9144.140624999998</v>
      </c>
      <c r="BZ195" s="329">
        <f>IF($F195&gt;2,$BY195*$D$210,"")</f>
        <v>11658.779296874996</v>
      </c>
      <c r="CA195" s="329">
        <f>IF($F195&gt;3,$BZ195*$D$211,"")</f>
        <v>14864.94360351562</v>
      </c>
      <c r="CB195" s="329">
        <f>IF($F195&gt;4,$CA195*$D$212,"")</f>
      </c>
      <c r="CC195" s="329">
        <f>IF($F195&gt;5,$CB195*$D$213,"")</f>
      </c>
      <c r="CD195" s="329">
        <f>IF($F195&gt;6,$CC195*$D$214,"")</f>
      </c>
      <c r="CE195" s="485" t="s">
        <v>244</v>
      </c>
      <c r="CF195" s="853" t="s">
        <v>919</v>
      </c>
      <c r="CG195" s="440" t="s">
        <v>58</v>
      </c>
      <c r="CH195" s="305">
        <v>937500</v>
      </c>
      <c r="CI195" s="305">
        <f t="shared" si="63"/>
        <v>281250</v>
      </c>
      <c r="CJ195" s="306">
        <f t="shared" si="64"/>
        <v>656250</v>
      </c>
      <c r="CK195" s="307" t="e">
        <f>CJ195-#REF!</f>
        <v>#REF!</v>
      </c>
      <c r="CL195" s="592">
        <v>937500</v>
      </c>
      <c r="CM195" s="21">
        <f t="shared" si="52"/>
        <v>1</v>
      </c>
      <c r="CN195" s="21">
        <f t="shared" si="53"/>
        <v>3.3333333333333335</v>
      </c>
      <c r="CO195" s="54"/>
      <c r="CP195" s="625">
        <f t="shared" si="54"/>
        <v>130</v>
      </c>
      <c r="CQ195" s="626">
        <f t="shared" si="55"/>
        <v>110</v>
      </c>
      <c r="CR195" s="624" t="str">
        <f t="shared" si="56"/>
        <v>A</v>
      </c>
      <c r="CS195" s="634">
        <f t="shared" si="57"/>
        <v>110</v>
      </c>
      <c r="CT195" s="591">
        <f t="shared" si="67"/>
        <v>12500000</v>
      </c>
      <c r="CU195" s="591">
        <f t="shared" si="74"/>
        <v>171.875</v>
      </c>
      <c r="CV195" s="591">
        <v>15000</v>
      </c>
      <c r="CW195" s="54"/>
      <c r="CX195" s="54"/>
      <c r="CY195" s="54"/>
      <c r="CZ195" s="54"/>
      <c r="DA195" s="54">
        <v>1.6875</v>
      </c>
      <c r="DB195" s="54">
        <v>6.25</v>
      </c>
      <c r="DC195" s="649">
        <f t="shared" si="58"/>
        <v>12.5</v>
      </c>
    </row>
    <row r="196" spans="1:107" ht="12.75">
      <c r="A196" s="489" t="s">
        <v>576</v>
      </c>
      <c r="B196" s="490" t="s">
        <v>576</v>
      </c>
      <c r="C196" s="555" t="s">
        <v>99</v>
      </c>
      <c r="D196" s="559">
        <v>15</v>
      </c>
      <c r="E196" s="560" t="s">
        <v>498</v>
      </c>
      <c r="F196" s="491">
        <v>2</v>
      </c>
      <c r="G196" s="492">
        <v>2</v>
      </c>
      <c r="H196" s="493">
        <v>1</v>
      </c>
      <c r="I196" s="494">
        <v>0</v>
      </c>
      <c r="J196" s="495">
        <v>1</v>
      </c>
      <c r="K196" s="496">
        <v>3</v>
      </c>
      <c r="L196" s="874">
        <v>600</v>
      </c>
      <c r="M196" s="887">
        <v>45</v>
      </c>
      <c r="N196" s="561">
        <v>400</v>
      </c>
      <c r="O196" s="486">
        <v>0</v>
      </c>
      <c r="P196" s="536">
        <v>0</v>
      </c>
      <c r="Q196" s="497">
        <v>781</v>
      </c>
      <c r="R196" s="562">
        <v>3300</v>
      </c>
      <c r="S196" s="563">
        <f t="shared" si="66"/>
        <v>5364.5625</v>
      </c>
      <c r="T196" s="498">
        <v>10000</v>
      </c>
      <c r="U196" s="499">
        <v>225000</v>
      </c>
      <c r="V196" s="564">
        <v>20000</v>
      </c>
      <c r="W196" s="565">
        <v>1</v>
      </c>
      <c r="X196" s="497">
        <v>743</v>
      </c>
      <c r="Y196" s="500">
        <v>60</v>
      </c>
      <c r="Z196" s="501">
        <v>10</v>
      </c>
      <c r="AA196" s="501">
        <v>25</v>
      </c>
      <c r="AB196" s="502">
        <v>35</v>
      </c>
      <c r="AC196" s="503">
        <v>79</v>
      </c>
      <c r="AD196" s="504">
        <v>625</v>
      </c>
      <c r="AE196" s="505">
        <f t="shared" si="72"/>
        <v>0.1264</v>
      </c>
      <c r="AF196" s="500">
        <v>0</v>
      </c>
      <c r="AG196" s="501">
        <v>50</v>
      </c>
      <c r="AH196" s="501">
        <v>40</v>
      </c>
      <c r="AI196" s="506">
        <v>20</v>
      </c>
      <c r="AJ196" s="507">
        <f t="shared" si="68"/>
        <v>1603</v>
      </c>
      <c r="AK196" s="508" t="str">
        <f t="shared" si="73"/>
        <v>A</v>
      </c>
      <c r="AL196" s="863">
        <v>375</v>
      </c>
      <c r="AM196" s="509">
        <v>207.5</v>
      </c>
      <c r="AN196" s="510">
        <f t="shared" si="62"/>
        <v>1.8072289156626506</v>
      </c>
      <c r="AO196" s="556">
        <v>35</v>
      </c>
      <c r="AP196" s="511" t="s">
        <v>467</v>
      </c>
      <c r="AQ196" s="512">
        <v>95</v>
      </c>
      <c r="AR196" s="513">
        <v>0</v>
      </c>
      <c r="AS196" s="514">
        <v>0</v>
      </c>
      <c r="AT196" s="514">
        <v>0</v>
      </c>
      <c r="AU196" s="515">
        <v>7</v>
      </c>
      <c r="AV196" s="516">
        <v>160</v>
      </c>
      <c r="AW196" s="566">
        <v>125</v>
      </c>
      <c r="AX196" s="513">
        <v>0</v>
      </c>
      <c r="AY196" s="514">
        <v>0</v>
      </c>
      <c r="AZ196" s="514">
        <v>0</v>
      </c>
      <c r="BA196" s="517">
        <v>4</v>
      </c>
      <c r="BB196" s="587">
        <v>4.5</v>
      </c>
      <c r="BC196" s="616">
        <v>1.08911E-07</v>
      </c>
      <c r="BD196" s="617">
        <f t="shared" si="51"/>
        <v>215.1986484377152</v>
      </c>
      <c r="BE196" s="518"/>
      <c r="BF196" s="519"/>
      <c r="BG196" s="520"/>
      <c r="BH196" s="542"/>
      <c r="BI196" s="521">
        <v>1</v>
      </c>
      <c r="BJ196" s="697" t="s">
        <v>1476</v>
      </c>
      <c r="BK196" s="522" t="s">
        <v>207</v>
      </c>
      <c r="BL196" s="523" t="s">
        <v>1171</v>
      </c>
      <c r="BM196" s="524" t="s">
        <v>431</v>
      </c>
      <c r="BN196" s="523" t="s">
        <v>104</v>
      </c>
      <c r="BO196" s="524"/>
      <c r="BP196" s="681" t="s">
        <v>432</v>
      </c>
      <c r="BQ196" s="525"/>
      <c r="BR196" s="681">
        <v>414</v>
      </c>
      <c r="BS196" s="522">
        <v>653</v>
      </c>
      <c r="BT196" s="607" t="s">
        <v>214</v>
      </c>
      <c r="BU196" s="612">
        <v>1</v>
      </c>
      <c r="BV196" s="602">
        <v>0</v>
      </c>
      <c r="BW196" s="567">
        <f t="shared" si="71"/>
        <v>3300</v>
      </c>
      <c r="BX196" s="526">
        <f>IF($F196&gt;0,$BW196*$D$208,"")</f>
        <v>4207.5</v>
      </c>
      <c r="BY196" s="526">
        <f>IF($F196&gt;1,$BX196*$D$209,"")</f>
        <v>5364.5625</v>
      </c>
      <c r="BZ196" s="526">
        <f>IF($F196&gt;2,$BY196*$D$210,"")</f>
      </c>
      <c r="CA196" s="526">
        <f>IF($F196&gt;3,$BZ196*$D$211,"")</f>
      </c>
      <c r="CB196" s="526">
        <f>IF($F196&gt;4,$CA196*$D$212,"")</f>
      </c>
      <c r="CC196" s="526">
        <f>IF($F196&gt;5,$CB196*$D$213,"")</f>
      </c>
      <c r="CD196" s="526">
        <f>IF($F196&gt;6,$CC196*$D$214,"")</f>
      </c>
      <c r="CE196" s="485" t="s">
        <v>502</v>
      </c>
      <c r="CF196" s="857" t="s">
        <v>919</v>
      </c>
      <c r="CG196" s="527" t="s">
        <v>59</v>
      </c>
      <c r="CH196" s="557">
        <v>322500</v>
      </c>
      <c r="CI196" s="557">
        <f t="shared" si="63"/>
        <v>96750</v>
      </c>
      <c r="CJ196" s="558">
        <f t="shared" si="64"/>
        <v>225750</v>
      </c>
      <c r="CK196" s="528" t="e">
        <f>CJ196-#REF!</f>
        <v>#REF!</v>
      </c>
      <c r="CL196" s="593">
        <v>322500</v>
      </c>
      <c r="CM196" s="522">
        <f t="shared" si="52"/>
        <v>1</v>
      </c>
      <c r="CN196" s="522">
        <f t="shared" si="53"/>
        <v>3.3333333333333335</v>
      </c>
      <c r="CO196" s="529"/>
      <c r="CP196" s="629">
        <f t="shared" si="54"/>
        <v>130</v>
      </c>
      <c r="CQ196" s="631">
        <f t="shared" si="55"/>
        <v>110</v>
      </c>
      <c r="CR196" s="630" t="str">
        <f t="shared" si="56"/>
        <v>A</v>
      </c>
      <c r="CS196" s="634">
        <f t="shared" si="57"/>
        <v>125</v>
      </c>
      <c r="CT196" s="591">
        <f t="shared" si="67"/>
        <v>10000000</v>
      </c>
      <c r="CU196" s="591">
        <f t="shared" si="74"/>
        <v>195.3125</v>
      </c>
      <c r="CV196" s="591">
        <v>15000</v>
      </c>
      <c r="CW196" s="529"/>
      <c r="CX196" s="529"/>
      <c r="CY196" s="529"/>
      <c r="CZ196" s="529"/>
      <c r="DA196" s="54">
        <v>1.6875</v>
      </c>
      <c r="DB196" s="54">
        <v>6.25</v>
      </c>
      <c r="DC196" s="649">
        <f t="shared" si="58"/>
        <v>10</v>
      </c>
    </row>
    <row r="197" spans="1:107" ht="12.75">
      <c r="A197" s="381" t="s">
        <v>780</v>
      </c>
      <c r="B197" s="69" t="s">
        <v>780</v>
      </c>
      <c r="C197" s="417" t="s">
        <v>435</v>
      </c>
      <c r="D197" s="418">
        <v>11</v>
      </c>
      <c r="E197" s="1044" t="s">
        <v>779</v>
      </c>
      <c r="F197" s="15">
        <v>3</v>
      </c>
      <c r="G197" s="18">
        <v>7</v>
      </c>
      <c r="H197" s="17">
        <v>6</v>
      </c>
      <c r="I197" s="323">
        <v>0</v>
      </c>
      <c r="J197" s="324">
        <v>0</v>
      </c>
      <c r="K197" s="188">
        <v>3</v>
      </c>
      <c r="L197" s="868">
        <v>920</v>
      </c>
      <c r="M197" s="881">
        <v>305000</v>
      </c>
      <c r="N197" s="106">
        <v>400</v>
      </c>
      <c r="O197" s="454">
        <v>300</v>
      </c>
      <c r="P197" s="811">
        <v>125</v>
      </c>
      <c r="Q197" s="283">
        <v>250000</v>
      </c>
      <c r="R197" s="284">
        <v>40000</v>
      </c>
      <c r="S197" s="358">
        <f>MAX($BW197:$CD197)</f>
        <v>82906.87499999999</v>
      </c>
      <c r="T197" s="286">
        <v>1180000</v>
      </c>
      <c r="U197" s="287">
        <v>14500000</v>
      </c>
      <c r="V197" s="311">
        <v>1000000</v>
      </c>
      <c r="W197" s="419">
        <v>0.05</v>
      </c>
      <c r="X197" s="340">
        <v>30000</v>
      </c>
      <c r="Y197" s="43">
        <v>50</v>
      </c>
      <c r="Z197" s="44">
        <v>10</v>
      </c>
      <c r="AA197" s="44">
        <v>35</v>
      </c>
      <c r="AB197" s="49">
        <v>35</v>
      </c>
      <c r="AC197" s="345">
        <v>90000</v>
      </c>
      <c r="AD197" s="312">
        <v>14400</v>
      </c>
      <c r="AE197" s="292">
        <f>AC197/AD197</f>
        <v>6.25</v>
      </c>
      <c r="AF197" s="46">
        <v>0</v>
      </c>
      <c r="AG197" s="48">
        <v>50</v>
      </c>
      <c r="AH197" s="48">
        <v>40</v>
      </c>
      <c r="AI197" s="47">
        <v>20</v>
      </c>
      <c r="AJ197" s="293">
        <f t="shared" si="68"/>
        <v>370000</v>
      </c>
      <c r="AK197" s="103" t="str">
        <f>IF($X197=$AC197,"=",IF(MAX($AC197,$X197)*0.1&gt;ABS($X197-$AC197),"~",IF(MAX($AC197,$X197)=$X197,"A","S")))</f>
        <v>S</v>
      </c>
      <c r="AL197" s="862">
        <v>54560</v>
      </c>
      <c r="AM197" s="458">
        <v>3900</v>
      </c>
      <c r="AN197" s="295">
        <f>AL197/AM197</f>
        <v>13.98974358974359</v>
      </c>
      <c r="AO197" s="145">
        <v>160</v>
      </c>
      <c r="AP197" s="85" t="s">
        <v>462</v>
      </c>
      <c r="AQ197" s="297">
        <v>75</v>
      </c>
      <c r="AR197" s="33">
        <v>0</v>
      </c>
      <c r="AS197" s="34">
        <v>0</v>
      </c>
      <c r="AT197" s="667">
        <v>115</v>
      </c>
      <c r="AU197" s="73">
        <v>0</v>
      </c>
      <c r="AV197" s="39">
        <v>4500</v>
      </c>
      <c r="AW197" s="143">
        <v>60</v>
      </c>
      <c r="AX197" s="33">
        <v>0</v>
      </c>
      <c r="AY197" s="34">
        <v>0</v>
      </c>
      <c r="AZ197" s="34">
        <v>0</v>
      </c>
      <c r="BA197" s="84">
        <v>0</v>
      </c>
      <c r="BB197" s="586">
        <v>1.2</v>
      </c>
      <c r="BC197" s="590"/>
      <c r="BD197" s="588" t="e">
        <f aca="true" t="shared" si="75" ref="BD197:BD204">(AL197*1.25*(1-0.1*5))/(T197*1000*BC197)</f>
        <v>#DIV/0!</v>
      </c>
      <c r="BE197" s="299">
        <v>95</v>
      </c>
      <c r="BF197" s="300">
        <v>5</v>
      </c>
      <c r="BG197" s="112" t="s">
        <v>1027</v>
      </c>
      <c r="BH197" s="541">
        <v>1000</v>
      </c>
      <c r="BI197" s="301"/>
      <c r="BJ197" s="696" t="s">
        <v>1476</v>
      </c>
      <c r="BK197" s="13" t="s">
        <v>1344</v>
      </c>
      <c r="BL197" s="303" t="s">
        <v>5</v>
      </c>
      <c r="BM197" s="420" t="s">
        <v>1506</v>
      </c>
      <c r="BN197" s="303" t="s">
        <v>435</v>
      </c>
      <c r="BO197" s="86"/>
      <c r="BP197" s="1" t="s">
        <v>780</v>
      </c>
      <c r="BR197" s="1">
        <v>2200</v>
      </c>
      <c r="BS197" s="21">
        <v>28352</v>
      </c>
      <c r="BT197" s="605"/>
      <c r="BU197" s="600">
        <v>0</v>
      </c>
      <c r="BV197" s="600">
        <v>10</v>
      </c>
      <c r="BW197" s="304">
        <f>$R197</f>
        <v>40000</v>
      </c>
      <c r="BX197" s="304">
        <f>IF($F197&gt;0,$BW197*$D$208,"")</f>
        <v>51000</v>
      </c>
      <c r="BY197" s="304">
        <f>IF($F197&gt;1,$BX197*$D$209,"")</f>
        <v>65024.99999999999</v>
      </c>
      <c r="BZ197" s="304">
        <f>IF($F197&gt;2,$BY197*$D$210,"")</f>
        <v>82906.87499999999</v>
      </c>
      <c r="CA197" s="304">
        <f>IF($F197&gt;3,$BZ197*$D$211,"")</f>
      </c>
      <c r="CB197" s="304">
        <f>IF($F197&gt;4,$CA197*$D$212,"")</f>
      </c>
      <c r="CC197" s="304">
        <f>IF($F197&gt;5,$CB197*$D$213,"")</f>
      </c>
      <c r="CD197" s="304">
        <f>IF($F197&gt;6,$CC197*$D$214,"")</f>
      </c>
      <c r="CE197" s="485" t="s">
        <v>503</v>
      </c>
      <c r="CF197" s="852" t="s">
        <v>517</v>
      </c>
      <c r="CG197" s="440"/>
      <c r="CH197" s="305"/>
      <c r="CI197" s="305">
        <f>CH197*0.3</f>
        <v>0</v>
      </c>
      <c r="CJ197" s="306">
        <f>CH197-CI197</f>
        <v>0</v>
      </c>
      <c r="CK197" s="307" t="e">
        <f>CJ197-#REF!</f>
        <v>#REF!</v>
      </c>
      <c r="CL197" s="54"/>
      <c r="CM197" s="21" t="e">
        <f aca="true" t="shared" si="76" ref="CM197:CM204">CL197/CH197</f>
        <v>#DIV/0!</v>
      </c>
      <c r="CN197" s="21" t="e">
        <f aca="true" t="shared" si="77" ref="CN197:CN204">CL197/CI197</f>
        <v>#DIV/0!</v>
      </c>
      <c r="CO197" s="54"/>
      <c r="CP197" s="622">
        <f aca="true" t="shared" si="78" ref="CP197:CP204">SUM(Y197:AB197)</f>
        <v>130</v>
      </c>
      <c r="CQ197" s="623">
        <f aca="true" t="shared" si="79" ref="CQ197:CQ204">SUM(AF197:AI197)</f>
        <v>110</v>
      </c>
      <c r="CR197" s="624" t="str">
        <f aca="true" t="shared" si="80" ref="CR197:CR204">AK197</f>
        <v>S</v>
      </c>
      <c r="CS197" s="634">
        <f aca="true" t="shared" si="81" ref="CS197:CS204">AW197</f>
        <v>60</v>
      </c>
      <c r="CT197" s="591">
        <f t="shared" si="67"/>
        <v>1180000000</v>
      </c>
      <c r="CU197" s="591">
        <f aca="true" t="shared" si="82" ref="CU197:CU204">CS197*1.25</f>
        <v>75</v>
      </c>
      <c r="CV197" s="591">
        <v>150000</v>
      </c>
      <c r="CW197" s="54"/>
      <c r="CX197" s="54">
        <v>90</v>
      </c>
      <c r="CY197" s="54"/>
      <c r="CZ197" s="54">
        <v>132</v>
      </c>
      <c r="DA197" s="54">
        <v>1.6875</v>
      </c>
      <c r="DB197" s="54">
        <v>6.25</v>
      </c>
      <c r="DC197" s="649">
        <f aca="true" t="shared" si="83" ref="DC197:DC204">T197*W197/1000</f>
        <v>59</v>
      </c>
    </row>
    <row r="198" spans="1:107" ht="12.75">
      <c r="A198" s="381" t="s">
        <v>77</v>
      </c>
      <c r="B198" s="117" t="s">
        <v>77</v>
      </c>
      <c r="C198" s="417" t="s">
        <v>435</v>
      </c>
      <c r="D198" s="418">
        <v>11</v>
      </c>
      <c r="E198" s="1045" t="s">
        <v>76</v>
      </c>
      <c r="F198" s="15">
        <v>2</v>
      </c>
      <c r="G198" s="18">
        <v>4</v>
      </c>
      <c r="H198" s="17">
        <v>3</v>
      </c>
      <c r="I198" s="323">
        <v>0</v>
      </c>
      <c r="J198" s="324">
        <v>0</v>
      </c>
      <c r="K198" s="188">
        <v>3</v>
      </c>
      <c r="L198" s="868">
        <v>430</v>
      </c>
      <c r="M198" s="885">
        <v>940</v>
      </c>
      <c r="N198" s="106">
        <v>400</v>
      </c>
      <c r="O198" s="454">
        <v>75</v>
      </c>
      <c r="P198" s="531">
        <v>50</v>
      </c>
      <c r="Q198" s="340">
        <v>46000</v>
      </c>
      <c r="R198" s="818">
        <v>30000</v>
      </c>
      <c r="S198" s="813">
        <f>MAX($BW198:$CD198)</f>
        <v>48768.75</v>
      </c>
      <c r="T198" s="286">
        <v>250000</v>
      </c>
      <c r="U198" s="287">
        <v>10250000</v>
      </c>
      <c r="V198" s="311">
        <v>500000</v>
      </c>
      <c r="W198" s="419">
        <v>0.16</v>
      </c>
      <c r="X198" s="153">
        <v>6900</v>
      </c>
      <c r="Y198" s="43">
        <v>50</v>
      </c>
      <c r="Z198" s="44">
        <v>10</v>
      </c>
      <c r="AA198" s="44">
        <v>35</v>
      </c>
      <c r="AB198" s="49">
        <v>35</v>
      </c>
      <c r="AC198" s="345">
        <v>10750</v>
      </c>
      <c r="AD198" s="312">
        <v>800</v>
      </c>
      <c r="AE198" s="292">
        <f>AC198/AD198</f>
        <v>13.4375</v>
      </c>
      <c r="AF198" s="46">
        <v>0</v>
      </c>
      <c r="AG198" s="48">
        <v>50</v>
      </c>
      <c r="AH198" s="48">
        <v>40</v>
      </c>
      <c r="AI198" s="47">
        <v>20</v>
      </c>
      <c r="AJ198" s="5">
        <f>Q198+X198+AC198</f>
        <v>63650</v>
      </c>
      <c r="AK198" s="103" t="str">
        <f t="shared" si="73"/>
        <v>S</v>
      </c>
      <c r="AL198" s="862">
        <v>4200</v>
      </c>
      <c r="AM198" s="458">
        <v>800</v>
      </c>
      <c r="AN198" s="295">
        <f>AL198/AM198</f>
        <v>5.25</v>
      </c>
      <c r="AO198" s="145">
        <v>60</v>
      </c>
      <c r="AP198" s="85" t="s">
        <v>1267</v>
      </c>
      <c r="AQ198" s="297">
        <v>75</v>
      </c>
      <c r="AR198" s="33">
        <v>0</v>
      </c>
      <c r="AS198" s="34">
        <v>0</v>
      </c>
      <c r="AT198" s="669">
        <v>15</v>
      </c>
      <c r="AU198" s="73">
        <v>0</v>
      </c>
      <c r="AV198" s="39">
        <v>550</v>
      </c>
      <c r="AW198" s="143">
        <v>60</v>
      </c>
      <c r="AX198" s="33">
        <v>0</v>
      </c>
      <c r="AY198" s="34">
        <v>0</v>
      </c>
      <c r="AZ198" s="34">
        <v>4</v>
      </c>
      <c r="BA198" s="84">
        <v>0</v>
      </c>
      <c r="BB198" s="586">
        <v>2.7</v>
      </c>
      <c r="BC198" s="590"/>
      <c r="BD198" s="588" t="e">
        <f>(AL198*1.25*(1-0.1*5))/(T198*1000*BC198)</f>
        <v>#DIV/0!</v>
      </c>
      <c r="BE198" s="299"/>
      <c r="BF198" s="300"/>
      <c r="BG198" s="112"/>
      <c r="BH198" s="541"/>
      <c r="BI198" s="301"/>
      <c r="BJ198" s="696" t="s">
        <v>1476</v>
      </c>
      <c r="BK198" s="13" t="s">
        <v>78</v>
      </c>
      <c r="BL198" s="420" t="s">
        <v>1407</v>
      </c>
      <c r="BM198" s="303" t="s">
        <v>1406</v>
      </c>
      <c r="BN198" s="303" t="s">
        <v>435</v>
      </c>
      <c r="BO198" s="86"/>
      <c r="BP198" s="1" t="s">
        <v>79</v>
      </c>
      <c r="BR198" s="1">
        <v>1100</v>
      </c>
      <c r="BS198" s="21">
        <v>28606</v>
      </c>
      <c r="BT198" s="605"/>
      <c r="BU198" s="600">
        <v>0</v>
      </c>
      <c r="BV198" s="600">
        <v>2</v>
      </c>
      <c r="BW198" s="386">
        <f aca="true" t="shared" si="84" ref="BW198:BW204">$R198</f>
        <v>30000</v>
      </c>
      <c r="BX198" s="329">
        <f>IF($F198&gt;0,$BW198*$D$208,"")</f>
        <v>38250</v>
      </c>
      <c r="BY198" s="329">
        <f>IF($F198&gt;1,$BX198*$D$209,"")</f>
        <v>48768.75</v>
      </c>
      <c r="BZ198" s="329">
        <f>IF($F198&gt;2,$BY198*$D$210,"")</f>
      </c>
      <c r="CA198" s="329">
        <f>IF($F198&gt;3,$BZ198*$D$211,"")</f>
      </c>
      <c r="CB198" s="329">
        <f>IF($F198&gt;4,$CA198*$D$212,"")</f>
      </c>
      <c r="CC198" s="329">
        <f>IF($F198&gt;5,$CB198*$D$213,"")</f>
      </c>
      <c r="CD198" s="329">
        <f>IF($F198&gt;6,$CC198*$D$214,"")</f>
      </c>
      <c r="CE198" s="485" t="s">
        <v>504</v>
      </c>
      <c r="CF198" s="858" t="s">
        <v>1408</v>
      </c>
      <c r="CG198" s="440"/>
      <c r="CH198" s="305"/>
      <c r="CI198" s="305">
        <f t="shared" si="63"/>
        <v>0</v>
      </c>
      <c r="CJ198" s="306">
        <f>CH198-CI198</f>
        <v>0</v>
      </c>
      <c r="CK198" s="307" t="e">
        <f>CJ198-#REF!</f>
        <v>#REF!</v>
      </c>
      <c r="CL198" s="591"/>
      <c r="CM198" s="21" t="e">
        <f>CL198/CH198</f>
        <v>#DIV/0!</v>
      </c>
      <c r="CN198" s="21" t="e">
        <f>CL198/CI198</f>
        <v>#DIV/0!</v>
      </c>
      <c r="CO198" s="54"/>
      <c r="CP198" s="626">
        <f>SUM(Y198:AB198)</f>
        <v>130</v>
      </c>
      <c r="CQ198" s="627">
        <f>SUM(AF198:AI198)</f>
        <v>110</v>
      </c>
      <c r="CR198" s="624" t="str">
        <f>AK198</f>
        <v>S</v>
      </c>
      <c r="CS198" s="634">
        <f t="shared" si="81"/>
        <v>60</v>
      </c>
      <c r="CT198" s="591">
        <f t="shared" si="67"/>
        <v>250000000</v>
      </c>
      <c r="CU198" s="591">
        <f t="shared" si="82"/>
        <v>75</v>
      </c>
      <c r="CV198" s="591">
        <v>150000</v>
      </c>
      <c r="CW198" s="54"/>
      <c r="CX198" s="54">
        <v>138</v>
      </c>
      <c r="CY198" s="54"/>
      <c r="CZ198" s="54">
        <v>309</v>
      </c>
      <c r="DA198" s="54">
        <v>1.6875</v>
      </c>
      <c r="DB198" s="54">
        <v>6.25</v>
      </c>
      <c r="DC198" s="649">
        <f t="shared" si="83"/>
        <v>40</v>
      </c>
    </row>
    <row r="199" spans="1:107" ht="12.75">
      <c r="A199" s="381" t="s">
        <v>102</v>
      </c>
      <c r="B199" s="117" t="s">
        <v>434</v>
      </c>
      <c r="C199" s="417" t="s">
        <v>435</v>
      </c>
      <c r="D199" s="418">
        <v>11</v>
      </c>
      <c r="E199" s="421" t="s">
        <v>436</v>
      </c>
      <c r="F199" s="15">
        <v>2</v>
      </c>
      <c r="G199" s="18">
        <v>4</v>
      </c>
      <c r="H199" s="17">
        <v>3</v>
      </c>
      <c r="I199" s="323">
        <v>0</v>
      </c>
      <c r="J199" s="324">
        <v>0</v>
      </c>
      <c r="K199" s="188">
        <v>2</v>
      </c>
      <c r="L199" s="868">
        <v>300</v>
      </c>
      <c r="M199" s="885">
        <v>35</v>
      </c>
      <c r="N199" s="106">
        <v>400</v>
      </c>
      <c r="O199" s="454">
        <v>50</v>
      </c>
      <c r="P199" s="531">
        <v>50</v>
      </c>
      <c r="Q199" s="340">
        <v>2531</v>
      </c>
      <c r="R199" s="341">
        <v>8000</v>
      </c>
      <c r="S199" s="358">
        <f t="shared" si="66"/>
        <v>13005</v>
      </c>
      <c r="T199" s="342">
        <v>40000</v>
      </c>
      <c r="U199" s="343">
        <v>200000</v>
      </c>
      <c r="V199" s="344">
        <v>3750</v>
      </c>
      <c r="W199" s="419">
        <v>0.445625</v>
      </c>
      <c r="X199" s="153">
        <v>1013</v>
      </c>
      <c r="Y199" s="43">
        <v>70</v>
      </c>
      <c r="Z199" s="44">
        <v>10</v>
      </c>
      <c r="AA199" s="44">
        <v>25</v>
      </c>
      <c r="AB199" s="49">
        <v>35</v>
      </c>
      <c r="AC199" s="345">
        <v>1516</v>
      </c>
      <c r="AD199" s="312">
        <v>625</v>
      </c>
      <c r="AE199" s="292">
        <f t="shared" si="72"/>
        <v>2.4256</v>
      </c>
      <c r="AF199" s="46">
        <v>37.5</v>
      </c>
      <c r="AG199" s="48">
        <v>75</v>
      </c>
      <c r="AH199" s="48">
        <v>62.5</v>
      </c>
      <c r="AI199" s="47">
        <v>50</v>
      </c>
      <c r="AJ199" s="5">
        <f t="shared" si="68"/>
        <v>5060</v>
      </c>
      <c r="AK199" s="103" t="str">
        <f t="shared" si="73"/>
        <v>S</v>
      </c>
      <c r="AL199" s="862">
        <v>625</v>
      </c>
      <c r="AM199" s="458">
        <v>187.5</v>
      </c>
      <c r="AN199" s="295">
        <f t="shared" si="62"/>
        <v>3.3333333333333335</v>
      </c>
      <c r="AO199" s="145">
        <v>22</v>
      </c>
      <c r="AP199" s="85" t="s">
        <v>465</v>
      </c>
      <c r="AQ199" s="297">
        <v>660</v>
      </c>
      <c r="AR199" s="33">
        <v>0</v>
      </c>
      <c r="AS199" s="34">
        <v>0</v>
      </c>
      <c r="AT199" s="34">
        <v>8</v>
      </c>
      <c r="AU199" s="73">
        <v>0</v>
      </c>
      <c r="AV199" s="39">
        <v>150</v>
      </c>
      <c r="AW199" s="143">
        <v>70</v>
      </c>
      <c r="AX199" s="33">
        <v>0</v>
      </c>
      <c r="AY199" s="34">
        <v>0</v>
      </c>
      <c r="AZ199" s="34">
        <v>4</v>
      </c>
      <c r="BA199" s="84">
        <v>0</v>
      </c>
      <c r="BB199" s="586">
        <v>6</v>
      </c>
      <c r="BC199" s="590">
        <v>2.08E-07</v>
      </c>
      <c r="BD199" s="588">
        <f t="shared" si="75"/>
        <v>46.95012019230769</v>
      </c>
      <c r="BE199" s="299"/>
      <c r="BF199" s="300"/>
      <c r="BG199" s="112"/>
      <c r="BH199" s="541"/>
      <c r="BI199" s="301">
        <v>3</v>
      </c>
      <c r="BJ199" s="346" t="s">
        <v>1401</v>
      </c>
      <c r="BK199" s="13" t="s">
        <v>722</v>
      </c>
      <c r="BL199" s="303" t="s">
        <v>1249</v>
      </c>
      <c r="BM199" s="420" t="s">
        <v>1697</v>
      </c>
      <c r="BN199" s="303" t="s">
        <v>435</v>
      </c>
      <c r="BO199" s="86"/>
      <c r="BP199" s="1" t="s">
        <v>1698</v>
      </c>
      <c r="BR199" s="1">
        <v>660</v>
      </c>
      <c r="BS199" s="21">
        <v>22544</v>
      </c>
      <c r="BT199" s="605"/>
      <c r="BU199" s="600">
        <v>0</v>
      </c>
      <c r="BV199" s="600">
        <v>2</v>
      </c>
      <c r="BW199" s="386">
        <f t="shared" si="84"/>
        <v>8000</v>
      </c>
      <c r="BX199" s="329">
        <f>IF($F199&gt;0,$BW199*$D$208,"")</f>
        <v>10200</v>
      </c>
      <c r="BY199" s="329">
        <f>IF($F199&gt;1,$BX199*$D$209,"")</f>
        <v>13005</v>
      </c>
      <c r="BZ199" s="329">
        <f>IF($F199&gt;2,$BY199*$D$210,"")</f>
      </c>
      <c r="CA199" s="329">
        <f>IF($F199&gt;3,$BZ199*$D$211,"")</f>
      </c>
      <c r="CB199" s="329">
        <f>IF($F199&gt;4,$CA199*$D$212,"")</f>
      </c>
      <c r="CC199" s="329">
        <f>IF($F199&gt;5,$CB199*$D$213,"")</f>
      </c>
      <c r="CD199" s="329">
        <f>IF($F199&gt;6,$CC199*$D$214,"")</f>
      </c>
      <c r="CE199" s="485" t="s">
        <v>562</v>
      </c>
      <c r="CF199" s="849" t="s">
        <v>515</v>
      </c>
      <c r="CG199" s="440" t="s">
        <v>1701</v>
      </c>
      <c r="CH199" s="305">
        <v>29184296</v>
      </c>
      <c r="CI199" s="305">
        <f t="shared" si="63"/>
        <v>8755288.799999999</v>
      </c>
      <c r="CJ199" s="306">
        <f t="shared" si="64"/>
        <v>20429007.200000003</v>
      </c>
      <c r="CK199" s="307" t="e">
        <f>CJ199-#REF!</f>
        <v>#REF!</v>
      </c>
      <c r="CL199" s="591">
        <v>11599588</v>
      </c>
      <c r="CM199" s="21">
        <f t="shared" si="76"/>
        <v>0.3974599215961899</v>
      </c>
      <c r="CN199" s="21">
        <f t="shared" si="77"/>
        <v>1.3248664053206334</v>
      </c>
      <c r="CO199" s="54"/>
      <c r="CP199" s="626">
        <f t="shared" si="78"/>
        <v>140</v>
      </c>
      <c r="CQ199" s="627">
        <f t="shared" si="79"/>
        <v>225</v>
      </c>
      <c r="CR199" s="624" t="str">
        <f t="shared" si="80"/>
        <v>S</v>
      </c>
      <c r="CS199" s="634">
        <f t="shared" si="81"/>
        <v>70</v>
      </c>
      <c r="CT199" s="591">
        <f t="shared" si="67"/>
        <v>40000000</v>
      </c>
      <c r="CU199" s="591">
        <f t="shared" si="82"/>
        <v>87.5</v>
      </c>
      <c r="CV199" s="591">
        <v>1500</v>
      </c>
      <c r="CW199" s="54"/>
      <c r="CX199" s="54"/>
      <c r="CY199" s="54"/>
      <c r="CZ199" s="54"/>
      <c r="DA199" s="54">
        <v>1.6875</v>
      </c>
      <c r="DB199" s="54">
        <v>6.25</v>
      </c>
      <c r="DC199" s="649">
        <f t="shared" si="83"/>
        <v>17.825</v>
      </c>
    </row>
    <row r="200" spans="1:107" ht="12.75">
      <c r="A200" s="24" t="s">
        <v>55</v>
      </c>
      <c r="B200" s="117" t="s">
        <v>1700</v>
      </c>
      <c r="C200" s="417" t="s">
        <v>435</v>
      </c>
      <c r="D200" s="418">
        <v>11</v>
      </c>
      <c r="E200" s="421" t="s">
        <v>436</v>
      </c>
      <c r="F200" s="15">
        <v>2</v>
      </c>
      <c r="G200" s="18">
        <v>4</v>
      </c>
      <c r="H200" s="17">
        <v>2</v>
      </c>
      <c r="I200" s="323">
        <v>0</v>
      </c>
      <c r="J200" s="324">
        <v>0</v>
      </c>
      <c r="K200" s="188">
        <v>2</v>
      </c>
      <c r="L200" s="868">
        <v>198</v>
      </c>
      <c r="M200" s="885">
        <v>35</v>
      </c>
      <c r="N200" s="106">
        <v>400</v>
      </c>
      <c r="O200" s="454">
        <v>50</v>
      </c>
      <c r="P200" s="531">
        <v>50</v>
      </c>
      <c r="Q200" s="340">
        <v>1266</v>
      </c>
      <c r="R200" s="341">
        <v>6000</v>
      </c>
      <c r="S200" s="358">
        <f t="shared" si="66"/>
        <v>9753.749999999998</v>
      </c>
      <c r="T200" s="342">
        <v>20000</v>
      </c>
      <c r="U200" s="343">
        <v>150000</v>
      </c>
      <c r="V200" s="344">
        <v>3750</v>
      </c>
      <c r="W200" s="419">
        <v>0.65875</v>
      </c>
      <c r="X200" s="153">
        <v>788</v>
      </c>
      <c r="Y200" s="43">
        <v>70</v>
      </c>
      <c r="Z200" s="44">
        <v>10</v>
      </c>
      <c r="AA200" s="44">
        <v>25</v>
      </c>
      <c r="AB200" s="49">
        <v>35</v>
      </c>
      <c r="AC200" s="345">
        <v>1181</v>
      </c>
      <c r="AD200" s="312">
        <v>625</v>
      </c>
      <c r="AE200" s="292">
        <f t="shared" si="72"/>
        <v>1.8896</v>
      </c>
      <c r="AF200" s="46">
        <v>37.5</v>
      </c>
      <c r="AG200" s="48">
        <v>75</v>
      </c>
      <c r="AH200" s="48">
        <v>62.5</v>
      </c>
      <c r="AI200" s="47">
        <v>50</v>
      </c>
      <c r="AJ200" s="5">
        <f t="shared" si="68"/>
        <v>3235</v>
      </c>
      <c r="AK200" s="103" t="str">
        <f t="shared" si="73"/>
        <v>S</v>
      </c>
      <c r="AL200" s="862">
        <v>500</v>
      </c>
      <c r="AM200" s="458">
        <v>187.5</v>
      </c>
      <c r="AN200" s="295">
        <f t="shared" si="62"/>
        <v>2.6666666666666665</v>
      </c>
      <c r="AO200" s="145">
        <v>22</v>
      </c>
      <c r="AP200" s="85" t="s">
        <v>463</v>
      </c>
      <c r="AQ200" s="297">
        <v>660</v>
      </c>
      <c r="AR200" s="33">
        <v>0</v>
      </c>
      <c r="AS200" s="34">
        <v>0</v>
      </c>
      <c r="AT200" s="34">
        <v>9</v>
      </c>
      <c r="AU200" s="73">
        <v>0</v>
      </c>
      <c r="AV200" s="39">
        <v>120</v>
      </c>
      <c r="AW200" s="143">
        <v>80</v>
      </c>
      <c r="AX200" s="33">
        <v>0</v>
      </c>
      <c r="AY200" s="34">
        <v>0</v>
      </c>
      <c r="AZ200" s="34">
        <v>5</v>
      </c>
      <c r="BA200" s="84">
        <v>0</v>
      </c>
      <c r="BB200" s="586">
        <v>6</v>
      </c>
      <c r="BC200" s="590">
        <v>3.33E-07</v>
      </c>
      <c r="BD200" s="588">
        <f t="shared" si="75"/>
        <v>46.92192192192193</v>
      </c>
      <c r="BE200" s="299"/>
      <c r="BF200" s="300"/>
      <c r="BG200" s="112"/>
      <c r="BH200" s="541"/>
      <c r="BI200" s="301">
        <v>2</v>
      </c>
      <c r="BJ200" s="346" t="s">
        <v>1401</v>
      </c>
      <c r="BK200" s="13" t="s">
        <v>722</v>
      </c>
      <c r="BL200" s="303" t="s">
        <v>382</v>
      </c>
      <c r="BM200" s="420" t="s">
        <v>251</v>
      </c>
      <c r="BN200" s="303" t="s">
        <v>435</v>
      </c>
      <c r="BO200" s="86"/>
      <c r="BP200" s="1" t="s">
        <v>299</v>
      </c>
      <c r="BR200" s="1">
        <v>470</v>
      </c>
      <c r="BS200" s="21">
        <v>22548</v>
      </c>
      <c r="BT200" s="605"/>
      <c r="BU200" s="600">
        <v>0</v>
      </c>
      <c r="BV200" s="600">
        <v>2</v>
      </c>
      <c r="BW200" s="386">
        <f t="shared" si="84"/>
        <v>6000</v>
      </c>
      <c r="BX200" s="329">
        <f>IF($F200&gt;0,$BW200*$D$208,"")</f>
        <v>7649.999999999999</v>
      </c>
      <c r="BY200" s="329">
        <f>IF($F200&gt;1,$BX200*$D$209,"")</f>
        <v>9753.749999999998</v>
      </c>
      <c r="BZ200" s="329">
        <f>IF($F200&gt;2,$BY200*$D$210,"")</f>
      </c>
      <c r="CA200" s="329">
        <f>IF($F200&gt;3,$BZ200*$D$211,"")</f>
      </c>
      <c r="CB200" s="329">
        <f>IF($F200&gt;4,$CA200*$D$212,"")</f>
      </c>
      <c r="CC200" s="329">
        <f>IF($F200&gt;5,$CB200*$D$213,"")</f>
      </c>
      <c r="CD200" s="329">
        <f>IF($F200&gt;6,$CC200*$D$214,"")</f>
      </c>
      <c r="CE200" s="485" t="s">
        <v>563</v>
      </c>
      <c r="CF200" s="849" t="s">
        <v>515</v>
      </c>
      <c r="CG200" s="440" t="s">
        <v>1654</v>
      </c>
      <c r="CH200" s="305">
        <v>12634472</v>
      </c>
      <c r="CI200" s="305">
        <f t="shared" si="63"/>
        <v>3790341.5999999996</v>
      </c>
      <c r="CJ200" s="306">
        <f t="shared" si="64"/>
        <v>8844130.4</v>
      </c>
      <c r="CK200" s="307" t="e">
        <f>CJ200-#REF!</f>
        <v>#REF!</v>
      </c>
      <c r="CL200" s="591">
        <v>9447220</v>
      </c>
      <c r="CM200" s="21">
        <f t="shared" si="76"/>
        <v>0.7477336607339032</v>
      </c>
      <c r="CN200" s="21">
        <f t="shared" si="77"/>
        <v>2.4924455357796775</v>
      </c>
      <c r="CO200" s="54"/>
      <c r="CP200" s="626">
        <f t="shared" si="78"/>
        <v>140</v>
      </c>
      <c r="CQ200" s="627">
        <f t="shared" si="79"/>
        <v>225</v>
      </c>
      <c r="CR200" s="624" t="str">
        <f t="shared" si="80"/>
        <v>S</v>
      </c>
      <c r="CS200" s="634">
        <f t="shared" si="81"/>
        <v>80</v>
      </c>
      <c r="CT200" s="591">
        <f t="shared" si="67"/>
        <v>20000000</v>
      </c>
      <c r="CU200" s="591">
        <f t="shared" si="82"/>
        <v>100</v>
      </c>
      <c r="CV200" s="591">
        <v>1500</v>
      </c>
      <c r="CW200" s="54"/>
      <c r="CX200" s="54"/>
      <c r="CY200" s="54"/>
      <c r="CZ200" s="54"/>
      <c r="DA200" s="54">
        <v>1.6875</v>
      </c>
      <c r="DB200" s="54">
        <v>6.25</v>
      </c>
      <c r="DC200" s="649">
        <f t="shared" si="83"/>
        <v>13.174999999999999</v>
      </c>
    </row>
    <row r="201" spans="1:107" ht="12.75">
      <c r="A201" s="24" t="s">
        <v>253</v>
      </c>
      <c r="B201" s="117" t="s">
        <v>254</v>
      </c>
      <c r="C201" s="417" t="s">
        <v>435</v>
      </c>
      <c r="D201" s="418">
        <v>11</v>
      </c>
      <c r="E201" s="421" t="s">
        <v>436</v>
      </c>
      <c r="F201" s="15">
        <v>2</v>
      </c>
      <c r="G201" s="18">
        <v>4</v>
      </c>
      <c r="H201" s="17">
        <v>1</v>
      </c>
      <c r="I201" s="323">
        <v>0</v>
      </c>
      <c r="J201" s="324">
        <v>0</v>
      </c>
      <c r="K201" s="188">
        <v>2</v>
      </c>
      <c r="L201" s="868">
        <v>188</v>
      </c>
      <c r="M201" s="885">
        <v>35</v>
      </c>
      <c r="N201" s="106">
        <v>400</v>
      </c>
      <c r="O201" s="454">
        <v>15</v>
      </c>
      <c r="P201" s="531">
        <v>15</v>
      </c>
      <c r="Q201" s="340">
        <v>633</v>
      </c>
      <c r="R201" s="341">
        <v>4500</v>
      </c>
      <c r="S201" s="358">
        <f t="shared" si="66"/>
        <v>7315.312499999999</v>
      </c>
      <c r="T201" s="342">
        <v>10000</v>
      </c>
      <c r="U201" s="343">
        <v>100000</v>
      </c>
      <c r="V201" s="344">
        <v>3750</v>
      </c>
      <c r="W201" s="419">
        <v>1.3</v>
      </c>
      <c r="X201" s="153">
        <v>450</v>
      </c>
      <c r="Y201" s="43">
        <v>70</v>
      </c>
      <c r="Z201" s="44">
        <v>10</v>
      </c>
      <c r="AA201" s="44">
        <v>25</v>
      </c>
      <c r="AB201" s="49">
        <v>35</v>
      </c>
      <c r="AC201" s="345">
        <v>675</v>
      </c>
      <c r="AD201" s="312">
        <v>625</v>
      </c>
      <c r="AE201" s="292">
        <f t="shared" si="72"/>
        <v>1.08</v>
      </c>
      <c r="AF201" s="46">
        <v>37.5</v>
      </c>
      <c r="AG201" s="48">
        <v>75</v>
      </c>
      <c r="AH201" s="48">
        <v>62.5</v>
      </c>
      <c r="AI201" s="47">
        <v>50</v>
      </c>
      <c r="AJ201" s="5">
        <f t="shared" si="68"/>
        <v>1758</v>
      </c>
      <c r="AK201" s="103" t="str">
        <f t="shared" si="73"/>
        <v>S</v>
      </c>
      <c r="AL201" s="862">
        <v>375</v>
      </c>
      <c r="AM201" s="458">
        <v>187.5</v>
      </c>
      <c r="AN201" s="295">
        <f t="shared" si="62"/>
        <v>2</v>
      </c>
      <c r="AO201" s="145">
        <v>22</v>
      </c>
      <c r="AP201" s="85" t="s">
        <v>463</v>
      </c>
      <c r="AQ201" s="297">
        <v>660</v>
      </c>
      <c r="AR201" s="33">
        <v>0</v>
      </c>
      <c r="AS201" s="34">
        <v>0</v>
      </c>
      <c r="AT201" s="34">
        <v>10</v>
      </c>
      <c r="AU201" s="73">
        <v>0</v>
      </c>
      <c r="AV201" s="39">
        <v>90</v>
      </c>
      <c r="AW201" s="143">
        <v>200</v>
      </c>
      <c r="AX201" s="33">
        <v>0</v>
      </c>
      <c r="AY201" s="34">
        <v>0</v>
      </c>
      <c r="AZ201" s="34">
        <v>6</v>
      </c>
      <c r="BA201" s="84">
        <v>0</v>
      </c>
      <c r="BB201" s="586">
        <v>6</v>
      </c>
      <c r="BC201" s="590">
        <v>7.5E-07</v>
      </c>
      <c r="BD201" s="588">
        <f t="shared" si="75"/>
        <v>31.25</v>
      </c>
      <c r="BE201" s="299"/>
      <c r="BF201" s="300"/>
      <c r="BG201" s="112"/>
      <c r="BH201" s="541"/>
      <c r="BI201" s="301">
        <v>1</v>
      </c>
      <c r="BJ201" s="346" t="s">
        <v>1401</v>
      </c>
      <c r="BK201" s="13" t="s">
        <v>722</v>
      </c>
      <c r="BL201" s="303" t="s">
        <v>0</v>
      </c>
      <c r="BM201" s="420" t="s">
        <v>1162</v>
      </c>
      <c r="BN201" s="303" t="s">
        <v>435</v>
      </c>
      <c r="BO201" s="86"/>
      <c r="BP201" s="1" t="s">
        <v>1163</v>
      </c>
      <c r="BR201" s="1">
        <v>354</v>
      </c>
      <c r="BS201" s="21">
        <v>22546</v>
      </c>
      <c r="BT201" s="605"/>
      <c r="BU201" s="600">
        <v>0</v>
      </c>
      <c r="BV201" s="600">
        <v>0.6</v>
      </c>
      <c r="BW201" s="386">
        <f t="shared" si="84"/>
        <v>4500</v>
      </c>
      <c r="BX201" s="329">
        <f>IF($F201&gt;0,$BW201*$D$208,"")</f>
        <v>5737.5</v>
      </c>
      <c r="BY201" s="329">
        <f>IF($F201&gt;1,$BX201*$D$209,"")</f>
        <v>7315.312499999999</v>
      </c>
      <c r="BZ201" s="329">
        <f>IF($F201&gt;2,$BY201*$D$210,"")</f>
      </c>
      <c r="CA201" s="329">
        <f>IF($F201&gt;3,$BZ201*$D$211,"")</f>
      </c>
      <c r="CB201" s="329">
        <f>IF($F201&gt;4,$CA201*$D$212,"")</f>
      </c>
      <c r="CC201" s="329">
        <f>IF($F201&gt;5,$CB201*$D$213,"")</f>
      </c>
      <c r="CD201" s="329">
        <f>IF($F201&gt;6,$CC201*$D$214,"")</f>
      </c>
      <c r="CE201" s="485" t="s">
        <v>564</v>
      </c>
      <c r="CF201" s="849" t="s">
        <v>515</v>
      </c>
      <c r="CG201" s="440" t="s">
        <v>1655</v>
      </c>
      <c r="CH201" s="305">
        <v>7124648</v>
      </c>
      <c r="CI201" s="305">
        <f t="shared" si="63"/>
        <v>2137394.4</v>
      </c>
      <c r="CJ201" s="306">
        <f t="shared" si="64"/>
        <v>4987253.6</v>
      </c>
      <c r="CK201" s="307" t="e">
        <f>CJ201-#REF!</f>
        <v>#REF!</v>
      </c>
      <c r="CL201" s="591">
        <v>7332298</v>
      </c>
      <c r="CM201" s="21">
        <f t="shared" si="76"/>
        <v>1.0291452995291837</v>
      </c>
      <c r="CN201" s="21">
        <f t="shared" si="77"/>
        <v>3.430484331763946</v>
      </c>
      <c r="CO201" s="54"/>
      <c r="CP201" s="626">
        <f t="shared" si="78"/>
        <v>140</v>
      </c>
      <c r="CQ201" s="627">
        <f t="shared" si="79"/>
        <v>225</v>
      </c>
      <c r="CR201" s="624" t="str">
        <f t="shared" si="80"/>
        <v>S</v>
      </c>
      <c r="CS201" s="634">
        <f t="shared" si="81"/>
        <v>200</v>
      </c>
      <c r="CT201" s="591">
        <f t="shared" si="67"/>
        <v>10000000</v>
      </c>
      <c r="CU201" s="591">
        <f t="shared" si="82"/>
        <v>250</v>
      </c>
      <c r="CV201" s="591">
        <v>1500</v>
      </c>
      <c r="CW201" s="54"/>
      <c r="CX201" s="54"/>
      <c r="CY201" s="54"/>
      <c r="CZ201" s="54"/>
      <c r="DA201" s="54">
        <v>1.6875</v>
      </c>
      <c r="DB201" s="54">
        <v>6.25</v>
      </c>
      <c r="DC201" s="649">
        <f t="shared" si="83"/>
        <v>13</v>
      </c>
    </row>
    <row r="202" spans="1:107" ht="12.75">
      <c r="A202" s="381" t="s">
        <v>434</v>
      </c>
      <c r="B202" s="69" t="s">
        <v>434</v>
      </c>
      <c r="C202" s="417" t="s">
        <v>435</v>
      </c>
      <c r="D202" s="447">
        <v>10</v>
      </c>
      <c r="E202" s="722" t="s">
        <v>383</v>
      </c>
      <c r="F202" s="15">
        <v>2</v>
      </c>
      <c r="G202" s="18">
        <v>1</v>
      </c>
      <c r="H202" s="17">
        <v>3</v>
      </c>
      <c r="I202" s="323">
        <v>0</v>
      </c>
      <c r="J202" s="324">
        <v>0</v>
      </c>
      <c r="K202" s="188">
        <v>3</v>
      </c>
      <c r="L202" s="868">
        <v>200</v>
      </c>
      <c r="M202" s="885">
        <v>35</v>
      </c>
      <c r="N202" s="106">
        <v>400</v>
      </c>
      <c r="O202" s="454">
        <v>50</v>
      </c>
      <c r="P202" s="531">
        <v>50</v>
      </c>
      <c r="Q202" s="340">
        <v>1875</v>
      </c>
      <c r="R202" s="341">
        <v>4000</v>
      </c>
      <c r="S202" s="358">
        <f t="shared" si="66"/>
        <v>6502.5</v>
      </c>
      <c r="T202" s="342">
        <v>40000</v>
      </c>
      <c r="U202" s="343">
        <v>200000</v>
      </c>
      <c r="V202" s="344">
        <v>3750</v>
      </c>
      <c r="W202" s="419">
        <v>0.445625</v>
      </c>
      <c r="X202" s="340">
        <v>1250</v>
      </c>
      <c r="Y202" s="43">
        <v>60</v>
      </c>
      <c r="Z202" s="44">
        <v>10</v>
      </c>
      <c r="AA202" s="44">
        <v>25</v>
      </c>
      <c r="AB202" s="49">
        <v>35</v>
      </c>
      <c r="AC202" s="345">
        <v>781</v>
      </c>
      <c r="AD202" s="312">
        <v>625</v>
      </c>
      <c r="AE202" s="292">
        <f t="shared" si="72"/>
        <v>1.2496</v>
      </c>
      <c r="AF202" s="43">
        <v>0</v>
      </c>
      <c r="AG202" s="44">
        <v>50</v>
      </c>
      <c r="AH202" s="44">
        <v>40</v>
      </c>
      <c r="AI202" s="45">
        <v>20</v>
      </c>
      <c r="AJ202" s="5">
        <f t="shared" si="68"/>
        <v>3906</v>
      </c>
      <c r="AK202" s="103" t="str">
        <f t="shared" si="73"/>
        <v>A</v>
      </c>
      <c r="AL202" s="862">
        <v>312</v>
      </c>
      <c r="AM202" s="458">
        <v>187.5</v>
      </c>
      <c r="AN202" s="295">
        <f t="shared" si="62"/>
        <v>1.664</v>
      </c>
      <c r="AO202" s="145">
        <v>22</v>
      </c>
      <c r="AP202" s="85" t="s">
        <v>465</v>
      </c>
      <c r="AQ202" s="297">
        <v>660</v>
      </c>
      <c r="AR202" s="33">
        <v>0</v>
      </c>
      <c r="AS202" s="34">
        <v>0</v>
      </c>
      <c r="AT202" s="34">
        <v>8</v>
      </c>
      <c r="AU202" s="73">
        <v>0</v>
      </c>
      <c r="AV202" s="39">
        <v>150</v>
      </c>
      <c r="AW202" s="143">
        <v>70</v>
      </c>
      <c r="AX202" s="33">
        <v>0</v>
      </c>
      <c r="AY202" s="34">
        <v>0</v>
      </c>
      <c r="AZ202" s="34">
        <v>4</v>
      </c>
      <c r="BA202" s="84">
        <v>0</v>
      </c>
      <c r="BB202" s="586">
        <v>6</v>
      </c>
      <c r="BC202" s="590">
        <v>2.08E-07</v>
      </c>
      <c r="BD202" s="588">
        <f t="shared" si="75"/>
        <v>23.4375</v>
      </c>
      <c r="BE202" s="299"/>
      <c r="BF202" s="300"/>
      <c r="BG202" s="112"/>
      <c r="BH202" s="541"/>
      <c r="BI202" s="301">
        <v>3</v>
      </c>
      <c r="BJ202" s="696" t="s">
        <v>1476</v>
      </c>
      <c r="BK202" s="13" t="s">
        <v>722</v>
      </c>
      <c r="BL202" s="303" t="s">
        <v>1165</v>
      </c>
      <c r="BM202" s="86" t="s">
        <v>1623</v>
      </c>
      <c r="BN202" s="303" t="s">
        <v>435</v>
      </c>
      <c r="BO202" s="86"/>
      <c r="BP202" s="1" t="s">
        <v>1624</v>
      </c>
      <c r="BR202" s="1">
        <v>660</v>
      </c>
      <c r="BS202" s="21">
        <v>17476</v>
      </c>
      <c r="BT202" s="605"/>
      <c r="BU202" s="600">
        <v>0</v>
      </c>
      <c r="BV202" s="600">
        <v>2</v>
      </c>
      <c r="BW202" s="386">
        <f t="shared" si="84"/>
        <v>4000</v>
      </c>
      <c r="BX202" s="329">
        <f>IF($F202&gt;0,$BW202*$D$208,"")</f>
        <v>5100</v>
      </c>
      <c r="BY202" s="329">
        <f>IF($F202&gt;1,$BX202*$D$209,"")</f>
        <v>6502.5</v>
      </c>
      <c r="BZ202" s="329">
        <f>IF($F202&gt;2,$BY202*$D$210,"")</f>
      </c>
      <c r="CA202" s="329">
        <f>IF($F202&gt;3,$BZ202*$D$211,"")</f>
      </c>
      <c r="CB202" s="329">
        <f>IF($F202&gt;4,$CA202*$D$212,"")</f>
      </c>
      <c r="CC202" s="329">
        <f>IF($F202&gt;5,$CB202*$D$213,"")</f>
      </c>
      <c r="CD202" s="329">
        <f>IF($F202&gt;6,$CC202*$D$214,"")</f>
      </c>
      <c r="CE202" s="485" t="s">
        <v>565</v>
      </c>
      <c r="CF202" s="854" t="s">
        <v>921</v>
      </c>
      <c r="CG202" s="440" t="s">
        <v>1656</v>
      </c>
      <c r="CH202" s="305">
        <v>20000000</v>
      </c>
      <c r="CI202" s="305">
        <f t="shared" si="63"/>
        <v>6000000</v>
      </c>
      <c r="CJ202" s="306">
        <f t="shared" si="64"/>
        <v>14000000</v>
      </c>
      <c r="CK202" s="307" t="e">
        <f>CJ202-#REF!</f>
        <v>#REF!</v>
      </c>
      <c r="CL202" s="591">
        <v>20000000</v>
      </c>
      <c r="CM202" s="21">
        <f t="shared" si="76"/>
        <v>1</v>
      </c>
      <c r="CN202" s="21">
        <f t="shared" si="77"/>
        <v>3.3333333333333335</v>
      </c>
      <c r="CO202" s="54"/>
      <c r="CP202" s="625">
        <f t="shared" si="78"/>
        <v>130</v>
      </c>
      <c r="CQ202" s="626">
        <f t="shared" si="79"/>
        <v>110</v>
      </c>
      <c r="CR202" s="624" t="str">
        <f t="shared" si="80"/>
        <v>A</v>
      </c>
      <c r="CS202" s="634">
        <f t="shared" si="81"/>
        <v>70</v>
      </c>
      <c r="CT202" s="591">
        <f t="shared" si="67"/>
        <v>40000000</v>
      </c>
      <c r="CU202" s="591">
        <f t="shared" si="82"/>
        <v>87.5</v>
      </c>
      <c r="CV202" s="591">
        <v>1500</v>
      </c>
      <c r="CW202" s="54"/>
      <c r="CX202" s="54"/>
      <c r="CY202" s="54"/>
      <c r="CZ202" s="54"/>
      <c r="DA202" s="54">
        <v>1.6875</v>
      </c>
      <c r="DB202" s="54">
        <v>6.25</v>
      </c>
      <c r="DC202" s="649">
        <f t="shared" si="83"/>
        <v>17.825</v>
      </c>
    </row>
    <row r="203" spans="1:107" ht="12.75">
      <c r="A203" s="24" t="s">
        <v>1700</v>
      </c>
      <c r="B203" s="69" t="s">
        <v>1700</v>
      </c>
      <c r="C203" s="417" t="s">
        <v>435</v>
      </c>
      <c r="D203" s="447">
        <v>10</v>
      </c>
      <c r="E203" s="722" t="s">
        <v>383</v>
      </c>
      <c r="F203" s="15">
        <v>2</v>
      </c>
      <c r="G203" s="18">
        <v>1</v>
      </c>
      <c r="H203" s="17">
        <v>2</v>
      </c>
      <c r="I203" s="323">
        <v>0</v>
      </c>
      <c r="J203" s="324">
        <v>0</v>
      </c>
      <c r="K203" s="188">
        <v>3</v>
      </c>
      <c r="L203" s="868">
        <v>125</v>
      </c>
      <c r="M203" s="885">
        <v>35</v>
      </c>
      <c r="N203" s="106">
        <v>400</v>
      </c>
      <c r="O203" s="454">
        <v>25</v>
      </c>
      <c r="P203" s="531">
        <v>25</v>
      </c>
      <c r="Q203" s="340">
        <v>938</v>
      </c>
      <c r="R203" s="341">
        <v>2000</v>
      </c>
      <c r="S203" s="358">
        <f t="shared" si="66"/>
        <v>3251.25</v>
      </c>
      <c r="T203" s="342">
        <v>20000</v>
      </c>
      <c r="U203" s="343">
        <v>150000</v>
      </c>
      <c r="V203" s="344">
        <v>3750</v>
      </c>
      <c r="W203" s="419">
        <v>0.65875</v>
      </c>
      <c r="X203" s="340">
        <v>625</v>
      </c>
      <c r="Y203" s="43">
        <v>60</v>
      </c>
      <c r="Z203" s="44">
        <v>10</v>
      </c>
      <c r="AA203" s="44">
        <v>25</v>
      </c>
      <c r="AB203" s="49">
        <v>35</v>
      </c>
      <c r="AC203" s="345">
        <v>391</v>
      </c>
      <c r="AD203" s="312">
        <v>625</v>
      </c>
      <c r="AE203" s="292">
        <f t="shared" si="72"/>
        <v>0.6256</v>
      </c>
      <c r="AF203" s="43">
        <v>0</v>
      </c>
      <c r="AG203" s="44">
        <v>50</v>
      </c>
      <c r="AH203" s="44">
        <v>40</v>
      </c>
      <c r="AI203" s="45">
        <v>20</v>
      </c>
      <c r="AJ203" s="5">
        <f t="shared" si="68"/>
        <v>1954</v>
      </c>
      <c r="AK203" s="103" t="str">
        <f t="shared" si="73"/>
        <v>A</v>
      </c>
      <c r="AL203" s="862">
        <v>250</v>
      </c>
      <c r="AM203" s="458">
        <v>187.5</v>
      </c>
      <c r="AN203" s="295">
        <f t="shared" si="62"/>
        <v>1.3333333333333333</v>
      </c>
      <c r="AO203" s="145">
        <v>22</v>
      </c>
      <c r="AP203" s="85" t="s">
        <v>463</v>
      </c>
      <c r="AQ203" s="297">
        <v>660</v>
      </c>
      <c r="AR203" s="33">
        <v>0</v>
      </c>
      <c r="AS203" s="34">
        <v>0</v>
      </c>
      <c r="AT203" s="34">
        <v>9</v>
      </c>
      <c r="AU203" s="73">
        <v>0</v>
      </c>
      <c r="AV203" s="39">
        <v>120</v>
      </c>
      <c r="AW203" s="143">
        <v>80</v>
      </c>
      <c r="AX203" s="33">
        <v>0</v>
      </c>
      <c r="AY203" s="34">
        <v>0</v>
      </c>
      <c r="AZ203" s="34">
        <v>5</v>
      </c>
      <c r="BA203" s="84">
        <v>0</v>
      </c>
      <c r="BB203" s="586">
        <v>6</v>
      </c>
      <c r="BC203" s="590">
        <v>3.33E-07</v>
      </c>
      <c r="BD203" s="588">
        <f t="shared" si="75"/>
        <v>23.460960960960964</v>
      </c>
      <c r="BE203" s="299"/>
      <c r="BF203" s="300"/>
      <c r="BG203" s="112"/>
      <c r="BH203" s="541"/>
      <c r="BI203" s="301">
        <v>2</v>
      </c>
      <c r="BJ203" s="696" t="s">
        <v>1476</v>
      </c>
      <c r="BK203" s="13" t="s">
        <v>722</v>
      </c>
      <c r="BL203" s="303" t="s">
        <v>1165</v>
      </c>
      <c r="BM203" s="86" t="s">
        <v>745</v>
      </c>
      <c r="BN203" s="303" t="s">
        <v>435</v>
      </c>
      <c r="BO203" s="86"/>
      <c r="BP203" s="1" t="s">
        <v>381</v>
      </c>
      <c r="BR203" s="1">
        <v>470</v>
      </c>
      <c r="BS203" s="21">
        <v>17478</v>
      </c>
      <c r="BT203" s="605"/>
      <c r="BU203" s="600">
        <v>0</v>
      </c>
      <c r="BV203" s="600">
        <v>1</v>
      </c>
      <c r="BW203" s="386">
        <f t="shared" si="84"/>
        <v>2000</v>
      </c>
      <c r="BX203" s="329">
        <f>IF($F203&gt;0,$BW203*$D$208,"")</f>
        <v>2550</v>
      </c>
      <c r="BY203" s="329">
        <f>IF($F203&gt;1,$BX203*$D$209,"")</f>
        <v>3251.25</v>
      </c>
      <c r="BZ203" s="329">
        <f>IF($F203&gt;2,$BY203*$D$210,"")</f>
      </c>
      <c r="CA203" s="329">
        <f>IF($F203&gt;3,$BZ203*$D$211,"")</f>
      </c>
      <c r="CB203" s="329">
        <f>IF($F203&gt;4,$CA203*$D$212,"")</f>
      </c>
      <c r="CC203" s="329">
        <f>IF($F203&gt;5,$CB203*$D$213,"")</f>
      </c>
      <c r="CD203" s="329">
        <f>IF($F203&gt;6,$CC203*$D$214,"")</f>
      </c>
      <c r="CE203" s="485" t="s">
        <v>1106</v>
      </c>
      <c r="CF203" s="854" t="s">
        <v>921</v>
      </c>
      <c r="CG203" s="440" t="s">
        <v>1657</v>
      </c>
      <c r="CH203" s="305">
        <v>5000000</v>
      </c>
      <c r="CI203" s="305">
        <f t="shared" si="63"/>
        <v>1500000</v>
      </c>
      <c r="CJ203" s="306">
        <f t="shared" si="64"/>
        <v>3500000</v>
      </c>
      <c r="CK203" s="307" t="e">
        <f>CJ203-#REF!</f>
        <v>#REF!</v>
      </c>
      <c r="CL203" s="591">
        <v>5000000</v>
      </c>
      <c r="CM203" s="21">
        <f t="shared" si="76"/>
        <v>1</v>
      </c>
      <c r="CN203" s="21">
        <f t="shared" si="77"/>
        <v>3.3333333333333335</v>
      </c>
      <c r="CO203" s="54"/>
      <c r="CP203" s="625">
        <f t="shared" si="78"/>
        <v>130</v>
      </c>
      <c r="CQ203" s="626">
        <f t="shared" si="79"/>
        <v>110</v>
      </c>
      <c r="CR203" s="624" t="str">
        <f t="shared" si="80"/>
        <v>A</v>
      </c>
      <c r="CS203" s="634">
        <f t="shared" si="81"/>
        <v>80</v>
      </c>
      <c r="CT203" s="591">
        <f t="shared" si="67"/>
        <v>20000000</v>
      </c>
      <c r="CU203" s="591">
        <f t="shared" si="82"/>
        <v>100</v>
      </c>
      <c r="CV203" s="591">
        <v>1500</v>
      </c>
      <c r="CW203" s="54"/>
      <c r="CX203" s="54"/>
      <c r="CY203" s="54"/>
      <c r="CZ203" s="54"/>
      <c r="DA203" s="54">
        <v>1.6875</v>
      </c>
      <c r="DB203" s="54">
        <v>6.25</v>
      </c>
      <c r="DC203" s="649">
        <f t="shared" si="83"/>
        <v>13.174999999999999</v>
      </c>
    </row>
    <row r="204" spans="1:107" ht="12.75">
      <c r="A204" s="24" t="s">
        <v>254</v>
      </c>
      <c r="B204" s="69" t="s">
        <v>254</v>
      </c>
      <c r="C204" s="417" t="s">
        <v>435</v>
      </c>
      <c r="D204" s="447">
        <v>10</v>
      </c>
      <c r="E204" s="722" t="s">
        <v>383</v>
      </c>
      <c r="F204" s="15">
        <v>2</v>
      </c>
      <c r="G204" s="18">
        <v>1</v>
      </c>
      <c r="H204" s="17">
        <v>1</v>
      </c>
      <c r="I204" s="323">
        <v>0</v>
      </c>
      <c r="J204" s="324">
        <v>0</v>
      </c>
      <c r="K204" s="188">
        <v>3</v>
      </c>
      <c r="L204" s="868">
        <v>125</v>
      </c>
      <c r="M204" s="885">
        <v>35</v>
      </c>
      <c r="N204" s="106">
        <v>400</v>
      </c>
      <c r="O204" s="454">
        <v>5</v>
      </c>
      <c r="P204" s="531">
        <v>5</v>
      </c>
      <c r="Q204" s="340">
        <v>469</v>
      </c>
      <c r="R204" s="341">
        <v>1000</v>
      </c>
      <c r="S204" s="358">
        <f t="shared" si="66"/>
        <v>1625.625</v>
      </c>
      <c r="T204" s="342">
        <v>10000</v>
      </c>
      <c r="U204" s="343">
        <v>100000</v>
      </c>
      <c r="V204" s="344">
        <v>3750</v>
      </c>
      <c r="W204" s="419">
        <v>1.3</v>
      </c>
      <c r="X204" s="340">
        <v>313</v>
      </c>
      <c r="Y204" s="43">
        <v>60</v>
      </c>
      <c r="Z204" s="44">
        <v>10</v>
      </c>
      <c r="AA204" s="44">
        <v>25</v>
      </c>
      <c r="AB204" s="49">
        <v>35</v>
      </c>
      <c r="AC204" s="345">
        <v>195</v>
      </c>
      <c r="AD204" s="312">
        <v>625</v>
      </c>
      <c r="AE204" s="292">
        <f t="shared" si="72"/>
        <v>0.312</v>
      </c>
      <c r="AF204" s="43">
        <v>0</v>
      </c>
      <c r="AG204" s="44">
        <v>50</v>
      </c>
      <c r="AH204" s="44">
        <v>40</v>
      </c>
      <c r="AI204" s="45">
        <v>20</v>
      </c>
      <c r="AJ204" s="5">
        <f t="shared" si="68"/>
        <v>977</v>
      </c>
      <c r="AK204" s="103" t="str">
        <f t="shared" si="73"/>
        <v>A</v>
      </c>
      <c r="AL204" s="862">
        <v>187</v>
      </c>
      <c r="AM204" s="458">
        <v>187.5</v>
      </c>
      <c r="AN204" s="295">
        <f t="shared" si="62"/>
        <v>0.9973333333333333</v>
      </c>
      <c r="AO204" s="145">
        <v>22</v>
      </c>
      <c r="AP204" s="85" t="s">
        <v>463</v>
      </c>
      <c r="AQ204" s="297">
        <v>660</v>
      </c>
      <c r="AR204" s="33">
        <v>0</v>
      </c>
      <c r="AS204" s="34">
        <v>0</v>
      </c>
      <c r="AT204" s="34">
        <v>10</v>
      </c>
      <c r="AU204" s="73">
        <v>0</v>
      </c>
      <c r="AV204" s="39">
        <v>90</v>
      </c>
      <c r="AW204" s="143">
        <v>90</v>
      </c>
      <c r="AX204" s="33">
        <v>0</v>
      </c>
      <c r="AY204" s="34">
        <v>0</v>
      </c>
      <c r="AZ204" s="34">
        <v>6</v>
      </c>
      <c r="BA204" s="84">
        <v>0</v>
      </c>
      <c r="BB204" s="586">
        <v>6</v>
      </c>
      <c r="BC204" s="590">
        <v>7.5E-07</v>
      </c>
      <c r="BD204" s="588">
        <f t="shared" si="75"/>
        <v>15.583333333333334</v>
      </c>
      <c r="BE204" s="299"/>
      <c r="BF204" s="300"/>
      <c r="BG204" s="112"/>
      <c r="BH204" s="541"/>
      <c r="BI204" s="301">
        <v>1</v>
      </c>
      <c r="BJ204" s="696" t="s">
        <v>1476</v>
      </c>
      <c r="BK204" s="13" t="s">
        <v>722</v>
      </c>
      <c r="BL204" s="303" t="s">
        <v>1286</v>
      </c>
      <c r="BM204" s="86" t="s">
        <v>137</v>
      </c>
      <c r="BN204" s="303" t="s">
        <v>435</v>
      </c>
      <c r="BO204" s="86"/>
      <c r="BP204" s="1" t="s">
        <v>138</v>
      </c>
      <c r="BR204" s="1">
        <v>354</v>
      </c>
      <c r="BS204" s="21">
        <v>17480</v>
      </c>
      <c r="BT204" s="605"/>
      <c r="BU204" s="600">
        <v>0</v>
      </c>
      <c r="BV204" s="600">
        <v>0.2</v>
      </c>
      <c r="BW204" s="386">
        <f t="shared" si="84"/>
        <v>1000</v>
      </c>
      <c r="BX204" s="329">
        <f>IF($F204&gt;0,$BW204*$D$208,"")</f>
        <v>1275</v>
      </c>
      <c r="BY204" s="329">
        <f>IF($F204&gt;1,$BX204*$D$209,"")</f>
        <v>1625.625</v>
      </c>
      <c r="BZ204" s="329">
        <f>IF($F204&gt;2,$BY204*$D$210,"")</f>
      </c>
      <c r="CA204" s="329">
        <f>IF($F204&gt;3,$BZ204*$D$211,"")</f>
      </c>
      <c r="CB204" s="329">
        <f>IF($F204&gt;4,$CA204*$D$212,"")</f>
      </c>
      <c r="CC204" s="329">
        <f>IF($F204&gt;5,$CB204*$D$213,"")</f>
      </c>
      <c r="CD204" s="329">
        <f>IF($F204&gt;6,$CC204*$D$214,"")</f>
      </c>
      <c r="CE204" s="485" t="s">
        <v>1466</v>
      </c>
      <c r="CF204" s="854" t="s">
        <v>921</v>
      </c>
      <c r="CG204" s="440" t="s">
        <v>1658</v>
      </c>
      <c r="CH204" s="305">
        <v>1000000</v>
      </c>
      <c r="CI204" s="305">
        <f t="shared" si="63"/>
        <v>300000</v>
      </c>
      <c r="CJ204" s="306">
        <f t="shared" si="64"/>
        <v>700000</v>
      </c>
      <c r="CK204" s="307" t="e">
        <f>CJ204-#REF!</f>
        <v>#REF!</v>
      </c>
      <c r="CL204" s="591">
        <v>1000000</v>
      </c>
      <c r="CM204" s="21">
        <f t="shared" si="76"/>
        <v>1</v>
      </c>
      <c r="CN204" s="21">
        <f t="shared" si="77"/>
        <v>3.3333333333333335</v>
      </c>
      <c r="CO204" s="54"/>
      <c r="CP204" s="625">
        <f t="shared" si="78"/>
        <v>130</v>
      </c>
      <c r="CQ204" s="626">
        <f t="shared" si="79"/>
        <v>110</v>
      </c>
      <c r="CR204" s="624" t="str">
        <f t="shared" si="80"/>
        <v>A</v>
      </c>
      <c r="CS204" s="634">
        <f t="shared" si="81"/>
        <v>90</v>
      </c>
      <c r="CT204" s="591">
        <f t="shared" si="67"/>
        <v>10000000</v>
      </c>
      <c r="CU204" s="591">
        <f t="shared" si="82"/>
        <v>112.5</v>
      </c>
      <c r="CV204" s="591">
        <v>1500</v>
      </c>
      <c r="CW204" s="54"/>
      <c r="CX204" s="54"/>
      <c r="CY204" s="54"/>
      <c r="CZ204" s="54"/>
      <c r="DA204" s="54">
        <v>1.6875</v>
      </c>
      <c r="DB204" s="54">
        <v>6.25</v>
      </c>
      <c r="DC204" s="649">
        <f t="shared" si="83"/>
        <v>13</v>
      </c>
    </row>
    <row r="205" spans="1:107" ht="12.75">
      <c r="A205" s="422"/>
      <c r="B205" s="423"/>
      <c r="C205" s="422"/>
      <c r="D205" s="424"/>
      <c r="E205" s="422"/>
      <c r="F205" s="3"/>
      <c r="G205" s="3"/>
      <c r="H205" s="3"/>
      <c r="I205" s="3"/>
      <c r="J205" s="3"/>
      <c r="K205" s="3"/>
      <c r="L205" s="3"/>
      <c r="M205" s="3"/>
      <c r="N205" s="3"/>
      <c r="O205" s="3"/>
      <c r="P205" s="3"/>
      <c r="Q205" s="3"/>
      <c r="R205" s="3"/>
      <c r="S205" s="3"/>
      <c r="T205" s="3"/>
      <c r="U205" s="3"/>
      <c r="V205" s="3"/>
      <c r="X205" s="3"/>
      <c r="Y205" s="3"/>
      <c r="Z205" s="3"/>
      <c r="AA205" s="3"/>
      <c r="AB205" s="3"/>
      <c r="AD205" s="3"/>
      <c r="AE205" s="3"/>
      <c r="AF205" s="3"/>
      <c r="AG205" s="3"/>
      <c r="AH205" s="3"/>
      <c r="AI205" s="3"/>
      <c r="AJ205" s="3"/>
      <c r="AK205" s="3"/>
      <c r="AM205" s="3"/>
      <c r="AN205" s="3"/>
      <c r="AP205" s="3"/>
      <c r="AQ205" s="3"/>
      <c r="AR205" s="3"/>
      <c r="AS205" s="3"/>
      <c r="AT205" s="3"/>
      <c r="AU205" s="3"/>
      <c r="AV205" s="3"/>
      <c r="AW205" s="3"/>
      <c r="AX205" s="3"/>
      <c r="AY205" s="3"/>
      <c r="AZ205" s="3"/>
      <c r="BA205" s="3"/>
      <c r="BB205" s="13"/>
      <c r="BC205" s="3"/>
      <c r="BD205" s="3"/>
      <c r="BE205" s="3"/>
      <c r="BF205" s="3"/>
      <c r="BG205" s="3"/>
      <c r="BH205" s="698"/>
      <c r="BI205" s="3"/>
      <c r="BJ205" s="3"/>
      <c r="BK205" s="3"/>
      <c r="BL205" s="3"/>
      <c r="BM205" s="3"/>
      <c r="BN205" s="3"/>
      <c r="BO205" s="3"/>
      <c r="BP205" s="3"/>
      <c r="BQ205" s="3"/>
      <c r="BR205" s="3"/>
      <c r="BS205" s="3"/>
      <c r="BT205" s="3"/>
      <c r="BW205" s="3"/>
      <c r="BX205" s="3"/>
      <c r="BY205" s="3"/>
      <c r="BZ205" s="3"/>
      <c r="CA205" s="3"/>
      <c r="CB205" s="3"/>
      <c r="CC205" s="3"/>
      <c r="CD205" s="3"/>
      <c r="CE205" s="137"/>
      <c r="CG205" s="699"/>
      <c r="CH205" s="3"/>
      <c r="CI205" s="3"/>
      <c r="CJ205" s="3"/>
      <c r="CK205" s="3"/>
      <c r="CL205" s="13"/>
      <c r="CM205" s="13"/>
      <c r="CN205" s="13"/>
      <c r="CO205" s="3"/>
      <c r="CP205" s="3"/>
      <c r="CQ205" s="3"/>
      <c r="CR205" s="3"/>
      <c r="CS205" s="3"/>
      <c r="CT205" s="3"/>
      <c r="CU205" s="3"/>
      <c r="CV205" s="3"/>
      <c r="CW205" s="3"/>
      <c r="CX205" s="3"/>
      <c r="CY205" s="3"/>
      <c r="CZ205" s="3"/>
      <c r="DA205" s="3"/>
      <c r="DB205" s="3"/>
      <c r="DC205" s="3"/>
    </row>
    <row r="206" spans="1:89" ht="12.75" customHeight="1" thickBot="1">
      <c r="A206" s="422"/>
      <c r="B206" s="423"/>
      <c r="C206" s="422"/>
      <c r="D206" s="424"/>
      <c r="E206" s="422"/>
      <c r="U206" s="648"/>
      <c r="W206"/>
      <c r="X206"/>
      <c r="AC206"/>
      <c r="AL206"/>
      <c r="AO206"/>
      <c r="CE206" s="137"/>
      <c r="CJ206"/>
      <c r="CK206"/>
    </row>
    <row r="207" spans="1:89" ht="12.75" customHeight="1" thickTop="1">
      <c r="A207" s="426"/>
      <c r="B207" s="422"/>
      <c r="C207" s="441" t="s">
        <v>169</v>
      </c>
      <c r="D207" s="427"/>
      <c r="E207" s="442" t="s">
        <v>121</v>
      </c>
      <c r="W207"/>
      <c r="X207"/>
      <c r="AC207"/>
      <c r="AL207"/>
      <c r="AO207"/>
      <c r="CD207" s="39"/>
      <c r="CE207" s="721"/>
      <c r="CF207" s="466" t="s">
        <v>919</v>
      </c>
      <c r="CG207" s="571" t="s">
        <v>518</v>
      </c>
      <c r="CH207" s="482" t="s">
        <v>519</v>
      </c>
      <c r="CJ207"/>
      <c r="CK207"/>
    </row>
    <row r="208" spans="1:89" ht="12.75" customHeight="1">
      <c r="A208" s="422"/>
      <c r="B208" s="422"/>
      <c r="C208" s="428" t="s">
        <v>139</v>
      </c>
      <c r="D208" s="429">
        <f aca="true" t="shared" si="85" ref="D208:D215">E208/100+1</f>
        <v>1.275</v>
      </c>
      <c r="E208" s="434">
        <v>27.5</v>
      </c>
      <c r="W208"/>
      <c r="X208"/>
      <c r="AC208"/>
      <c r="AL208"/>
      <c r="AO208"/>
      <c r="CD208" s="39"/>
      <c r="CE208" s="721"/>
      <c r="CF208" s="488" t="s">
        <v>183</v>
      </c>
      <c r="CG208" s="572" t="s">
        <v>1093</v>
      </c>
      <c r="CH208" s="481"/>
      <c r="CJ208"/>
      <c r="CK208"/>
    </row>
    <row r="209" spans="1:89" ht="12.75" customHeight="1">
      <c r="A209" s="422"/>
      <c r="B209" s="422"/>
      <c r="C209" s="428" t="s">
        <v>631</v>
      </c>
      <c r="D209" s="429">
        <f t="shared" si="85"/>
        <v>1.275</v>
      </c>
      <c r="E209" s="434">
        <v>27.5</v>
      </c>
      <c r="W209"/>
      <c r="X209"/>
      <c r="AC209"/>
      <c r="AL209"/>
      <c r="AO209"/>
      <c r="CD209" s="39"/>
      <c r="CE209" s="721"/>
      <c r="CF209" s="467" t="s">
        <v>920</v>
      </c>
      <c r="CG209" s="573" t="s">
        <v>475</v>
      </c>
      <c r="CH209" s="481" t="s">
        <v>473</v>
      </c>
      <c r="CJ209"/>
      <c r="CK209"/>
    </row>
    <row r="210" spans="1:89" ht="12.75" customHeight="1">
      <c r="A210" s="430"/>
      <c r="B210" s="422"/>
      <c r="C210" s="428" t="s">
        <v>632</v>
      </c>
      <c r="D210" s="429">
        <f t="shared" si="85"/>
        <v>1.275</v>
      </c>
      <c r="E210" s="434">
        <v>27.5</v>
      </c>
      <c r="W210"/>
      <c r="X210"/>
      <c r="AC210"/>
      <c r="AL210"/>
      <c r="AO210"/>
      <c r="CD210" s="39">
        <v>3211</v>
      </c>
      <c r="CE210" s="721"/>
      <c r="CF210" s="468" t="s">
        <v>584</v>
      </c>
      <c r="CG210" s="573" t="s">
        <v>476</v>
      </c>
      <c r="CH210" s="481" t="s">
        <v>474</v>
      </c>
      <c r="CI210" t="s">
        <v>492</v>
      </c>
      <c r="CJ210"/>
      <c r="CK210"/>
    </row>
    <row r="211" spans="1:89" ht="12.75" customHeight="1">
      <c r="A211" s="430"/>
      <c r="B211" s="422"/>
      <c r="C211" s="428" t="s">
        <v>347</v>
      </c>
      <c r="D211" s="429">
        <f t="shared" si="85"/>
        <v>1.275</v>
      </c>
      <c r="E211" s="434">
        <v>27.5</v>
      </c>
      <c r="W211"/>
      <c r="X211"/>
      <c r="AC211"/>
      <c r="AL211"/>
      <c r="AO211"/>
      <c r="CD211" s="39">
        <v>3363</v>
      </c>
      <c r="CE211" s="721"/>
      <c r="CF211" s="468" t="s">
        <v>921</v>
      </c>
      <c r="CG211" s="572" t="s">
        <v>482</v>
      </c>
      <c r="CH211" s="483"/>
      <c r="CI211" t="s">
        <v>493</v>
      </c>
      <c r="CJ211"/>
      <c r="CK211"/>
    </row>
    <row r="212" spans="1:89" ht="12.75" customHeight="1">
      <c r="A212" s="431"/>
      <c r="B212" s="422"/>
      <c r="C212" s="428" t="s">
        <v>348</v>
      </c>
      <c r="D212" s="429">
        <f t="shared" si="85"/>
        <v>1.275</v>
      </c>
      <c r="E212" s="434">
        <v>27.5</v>
      </c>
      <c r="G212" s="21"/>
      <c r="H212" s="21"/>
      <c r="W212"/>
      <c r="X212"/>
      <c r="AC212"/>
      <c r="AL212"/>
      <c r="AO212"/>
      <c r="CD212" s="39">
        <v>3538</v>
      </c>
      <c r="CE212" s="721"/>
      <c r="CF212" s="469" t="s">
        <v>585</v>
      </c>
      <c r="CG212" s="572" t="s">
        <v>481</v>
      </c>
      <c r="CH212" s="481" t="s">
        <v>477</v>
      </c>
      <c r="CJ212"/>
      <c r="CK212"/>
    </row>
    <row r="213" spans="1:89" ht="12.75" customHeight="1">
      <c r="A213" s="422"/>
      <c r="B213" s="422"/>
      <c r="C213" s="428" t="s">
        <v>349</v>
      </c>
      <c r="D213" s="429">
        <f t="shared" si="85"/>
        <v>1.275</v>
      </c>
      <c r="E213" s="434">
        <v>27.5</v>
      </c>
      <c r="G213" s="21"/>
      <c r="H213" s="21"/>
      <c r="W213"/>
      <c r="X213"/>
      <c r="AC213"/>
      <c r="AL213"/>
      <c r="AO213"/>
      <c r="CD213" s="39">
        <v>3548</v>
      </c>
      <c r="CE213" s="721"/>
      <c r="CF213" s="469" t="s">
        <v>513</v>
      </c>
      <c r="CG213" s="479" t="s">
        <v>480</v>
      </c>
      <c r="CH213" s="483"/>
      <c r="CJ213"/>
      <c r="CK213"/>
    </row>
    <row r="214" spans="1:89" ht="12.75" customHeight="1">
      <c r="A214" s="422"/>
      <c r="B214" s="422"/>
      <c r="C214" s="428" t="s">
        <v>350</v>
      </c>
      <c r="D214" s="429">
        <f t="shared" si="85"/>
        <v>1.275</v>
      </c>
      <c r="E214" s="434">
        <v>27.5</v>
      </c>
      <c r="G214" s="21"/>
      <c r="H214" s="21"/>
      <c r="W214"/>
      <c r="X214"/>
      <c r="AC214"/>
      <c r="AL214"/>
      <c r="AO214"/>
      <c r="CD214" s="39">
        <v>3796</v>
      </c>
      <c r="CE214" s="721"/>
      <c r="CF214" s="469" t="s">
        <v>514</v>
      </c>
      <c r="CG214" s="573" t="s">
        <v>479</v>
      </c>
      <c r="CH214" s="481"/>
      <c r="CJ214"/>
      <c r="CK214"/>
    </row>
    <row r="215" spans="1:89" ht="12.75" customHeight="1" thickBot="1">
      <c r="A215" s="422"/>
      <c r="B215" s="422"/>
      <c r="C215" s="428" t="s">
        <v>351</v>
      </c>
      <c r="D215" s="429">
        <f t="shared" si="85"/>
        <v>1.275</v>
      </c>
      <c r="E215" s="434">
        <v>27.5</v>
      </c>
      <c r="G215" s="21"/>
      <c r="H215" s="21"/>
      <c r="W215"/>
      <c r="X215"/>
      <c r="AC215"/>
      <c r="AL215"/>
      <c r="AO215"/>
      <c r="CD215" s="39">
        <v>27912</v>
      </c>
      <c r="CE215" s="721"/>
      <c r="CF215" s="470" t="s">
        <v>515</v>
      </c>
      <c r="CG215" s="573" t="s">
        <v>1362</v>
      </c>
      <c r="CH215" s="481" t="s">
        <v>511</v>
      </c>
      <c r="CJ215"/>
      <c r="CK215"/>
    </row>
    <row r="216" spans="1:89" ht="12.75" customHeight="1" thickTop="1">
      <c r="A216" s="435"/>
      <c r="B216" s="435"/>
      <c r="C216" s="450"/>
      <c r="D216" s="451"/>
      <c r="E216" s="450"/>
      <c r="W216"/>
      <c r="X216"/>
      <c r="AC216"/>
      <c r="AL216"/>
      <c r="AO216"/>
      <c r="CD216" s="39">
        <v>37459</v>
      </c>
      <c r="CE216" s="721"/>
      <c r="CF216" s="471" t="s">
        <v>516</v>
      </c>
      <c r="CG216" s="573" t="s">
        <v>496</v>
      </c>
      <c r="CH216" s="481" t="s">
        <v>497</v>
      </c>
      <c r="CI216" t="s">
        <v>665</v>
      </c>
      <c r="CJ216"/>
      <c r="CK216"/>
    </row>
    <row r="217" spans="1:89" ht="12.75" customHeight="1">
      <c r="A217" s="448"/>
      <c r="B217" s="448"/>
      <c r="C217" s="448"/>
      <c r="D217" s="449"/>
      <c r="E217" s="448"/>
      <c r="W217"/>
      <c r="X217"/>
      <c r="AC217"/>
      <c r="AL217"/>
      <c r="AO217"/>
      <c r="CD217" s="39"/>
      <c r="CE217" s="721"/>
      <c r="CF217" s="471" t="s">
        <v>517</v>
      </c>
      <c r="CG217" s="480" t="s">
        <v>478</v>
      </c>
      <c r="CH217" s="484" t="s">
        <v>109</v>
      </c>
      <c r="CI217" t="s">
        <v>494</v>
      </c>
      <c r="CJ217"/>
      <c r="CK217"/>
    </row>
    <row r="218" spans="23:89" ht="12.75" customHeight="1">
      <c r="W218"/>
      <c r="X218"/>
      <c r="AC218"/>
      <c r="AL218"/>
      <c r="AO218"/>
      <c r="CD218" s="39">
        <v>45017</v>
      </c>
      <c r="CE218" s="721"/>
      <c r="CF218" s="473" t="s">
        <v>182</v>
      </c>
      <c r="CG218" s="480" t="s">
        <v>666</v>
      </c>
      <c r="CH218" s="487" t="s">
        <v>667</v>
      </c>
      <c r="CI218" t="s">
        <v>495</v>
      </c>
      <c r="CJ218"/>
      <c r="CK218"/>
    </row>
    <row r="219" spans="23:89" ht="12.75">
      <c r="W219"/>
      <c r="X219"/>
      <c r="AC219"/>
      <c r="AL219"/>
      <c r="AO219"/>
      <c r="CD219" s="436">
        <v>58189</v>
      </c>
      <c r="CE219" s="721"/>
      <c r="CF219" s="475" t="s">
        <v>1105</v>
      </c>
      <c r="CG219" s="573" t="s">
        <v>1127</v>
      </c>
      <c r="CH219" s="578" t="s">
        <v>1126</v>
      </c>
      <c r="CJ219"/>
      <c r="CK219"/>
    </row>
    <row r="220" spans="5:89" ht="12.75">
      <c r="E220" s="131"/>
      <c r="W220"/>
      <c r="X220"/>
      <c r="AC220"/>
      <c r="AL220"/>
      <c r="AO220"/>
      <c r="CD220" s="39">
        <v>69477</v>
      </c>
      <c r="CE220" s="721"/>
      <c r="CF220" s="659" t="s">
        <v>1408</v>
      </c>
      <c r="CG220" s="573" t="s">
        <v>1409</v>
      </c>
      <c r="CH220" s="481" t="s">
        <v>999</v>
      </c>
      <c r="CI220" t="s">
        <v>60</v>
      </c>
      <c r="CJ220"/>
      <c r="CK220"/>
    </row>
    <row r="221" spans="23:89" ht="12.75">
      <c r="W221"/>
      <c r="X221"/>
      <c r="AC221"/>
      <c r="AL221"/>
      <c r="AO221"/>
      <c r="CE221" s="721"/>
      <c r="CF221" s="662" t="s">
        <v>871</v>
      </c>
      <c r="CG221" s="574" t="s">
        <v>879</v>
      </c>
      <c r="CH221" s="632" t="s">
        <v>872</v>
      </c>
      <c r="CJ221"/>
      <c r="CK221"/>
    </row>
    <row r="222" spans="23:89" ht="12.75">
      <c r="W222"/>
      <c r="X222"/>
      <c r="AC222"/>
      <c r="AL222"/>
      <c r="AO222"/>
      <c r="CJ222"/>
      <c r="CK222"/>
    </row>
    <row r="223" spans="23:89" ht="12.75">
      <c r="W223"/>
      <c r="X223"/>
      <c r="AC223"/>
      <c r="AL223"/>
      <c r="AO223"/>
      <c r="CJ223"/>
      <c r="CK223"/>
    </row>
    <row r="224" spans="23:89" ht="12.75">
      <c r="W224"/>
      <c r="X224"/>
      <c r="AC224"/>
      <c r="AL224"/>
      <c r="AO224"/>
      <c r="CJ224"/>
      <c r="CK224"/>
    </row>
    <row r="225" spans="23:89" ht="12.75">
      <c r="W225"/>
      <c r="X225"/>
      <c r="AC225"/>
      <c r="AL225"/>
      <c r="AO225"/>
      <c r="CJ225"/>
      <c r="CK225"/>
    </row>
    <row r="226" spans="23:89" ht="12.75">
      <c r="W226"/>
      <c r="X226"/>
      <c r="AC226"/>
      <c r="AL226"/>
      <c r="AO226"/>
      <c r="CJ226"/>
      <c r="CK226"/>
    </row>
    <row r="227" spans="23:89" ht="12.75">
      <c r="W227"/>
      <c r="X227"/>
      <c r="AC227"/>
      <c r="AL227"/>
      <c r="AO227"/>
      <c r="CJ227"/>
      <c r="CK227"/>
    </row>
    <row r="228" spans="23:89" ht="12.75">
      <c r="W228"/>
      <c r="X228"/>
      <c r="AC228"/>
      <c r="AL228"/>
      <c r="AO228"/>
      <c r="CJ228"/>
      <c r="CK228"/>
    </row>
    <row r="229" spans="23:89" ht="12.75">
      <c r="W229"/>
      <c r="X229"/>
      <c r="AC229"/>
      <c r="AL229"/>
      <c r="AO229"/>
      <c r="CJ229"/>
      <c r="CK229"/>
    </row>
    <row r="230" spans="23:89" ht="12.75">
      <c r="W230"/>
      <c r="X230"/>
      <c r="AC230"/>
      <c r="AL230"/>
      <c r="AO230"/>
      <c r="CJ230"/>
      <c r="CK230"/>
    </row>
    <row r="231" spans="23:89" ht="12.75">
      <c r="W231"/>
      <c r="X231"/>
      <c r="AC231"/>
      <c r="AL231"/>
      <c r="AO231"/>
      <c r="CJ231"/>
      <c r="CK231"/>
    </row>
    <row r="232" spans="23:89" ht="12.75">
      <c r="W232"/>
      <c r="X232"/>
      <c r="AC232"/>
      <c r="AL232"/>
      <c r="AO232"/>
      <c r="CJ232"/>
      <c r="CK232"/>
    </row>
    <row r="233" spans="23:89" ht="12.75">
      <c r="W233"/>
      <c r="X233"/>
      <c r="AC233"/>
      <c r="AL233"/>
      <c r="AO233"/>
      <c r="CJ233"/>
      <c r="CK233"/>
    </row>
  </sheetData>
  <conditionalFormatting sqref="M140 M206:N206 M7:N7 BD205:BD206 F4:K206 BE4:BH206 BB4:BC206">
    <cfRule type="cellIs" priority="1" dxfId="0" operator="equal" stopIfTrue="1">
      <formula>0</formula>
    </cfRule>
  </conditionalFormatting>
  <conditionalFormatting sqref="AO179:AQ183 X162:X165 X206 X43:X48 X41 X69:X75 X80 AX4:BA206 AR4:AU206">
    <cfRule type="cellIs" priority="2" dxfId="1" operator="equal" stopIfTrue="1">
      <formula>0</formula>
    </cfRule>
  </conditionalFormatting>
  <conditionalFormatting sqref="CR4:CR204 AK4:AK206">
    <cfRule type="cellIs" priority="3" dxfId="2" operator="equal" stopIfTrue="1">
      <formula>"A"</formula>
    </cfRule>
    <cfRule type="cellIs" priority="4" dxfId="3" operator="equal" stopIfTrue="1">
      <formula>"S"</formula>
    </cfRule>
  </conditionalFormatting>
  <conditionalFormatting sqref="CK4:CK206">
    <cfRule type="cellIs" priority="5" dxfId="0" operator="lessThanOrEqual" stopIfTrue="1">
      <formula>0</formula>
    </cfRule>
  </conditionalFormatting>
  <conditionalFormatting sqref="BD4:BD204">
    <cfRule type="cellIs" priority="6" dxfId="4" operator="lessThanOrEqual" stopIfTrue="1">
      <formula>20</formula>
    </cfRule>
  </conditionalFormatting>
  <printOptions/>
  <pageMargins left="0.75" right="0.75" top="1" bottom="1" header="0.4921259845" footer="0.4921259845"/>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Feuil2"/>
  <dimension ref="A1:CF46"/>
  <sheetViews>
    <sheetView workbookViewId="0" topLeftCell="A1">
      <pane xSplit="1" ySplit="3" topLeftCell="AW4" activePane="bottomRight" state="frozen"/>
      <selection pane="topLeft" activeCell="A1" sqref="A1"/>
      <selection pane="topRight" activeCell="B1" sqref="B1"/>
      <selection pane="bottomLeft" activeCell="A4" sqref="A4"/>
      <selection pane="bottomRight" activeCell="CF3" sqref="A3:CF3"/>
    </sheetView>
  </sheetViews>
  <sheetFormatPr defaultColWidth="11.421875" defaultRowHeight="12.75"/>
  <cols>
    <col min="1" max="1" width="20.140625" style="0" customWidth="1"/>
    <col min="2" max="2" width="11.28125" style="0" customWidth="1"/>
    <col min="3" max="3" width="9.7109375" style="0" bestFit="1" customWidth="1"/>
    <col min="4" max="4" width="0.13671875" style="0" customWidth="1"/>
    <col min="5" max="5" width="7.7109375" style="0" bestFit="1" customWidth="1"/>
    <col min="6" max="11" width="2.8515625" style="0" customWidth="1"/>
    <col min="12" max="12" width="5.7109375" style="0" customWidth="1"/>
    <col min="13" max="13" width="9.7109375" style="0" bestFit="1" customWidth="1"/>
    <col min="14" max="14" width="5.7109375" style="0" customWidth="1"/>
    <col min="15" max="15" width="8.7109375" style="0" customWidth="1"/>
    <col min="16" max="16" width="9.7109375" style="0" customWidth="1"/>
    <col min="17" max="17" width="5.7109375" style="0" customWidth="1"/>
    <col min="18" max="18" width="8.7109375" style="0" customWidth="1"/>
    <col min="19" max="19" width="1.7109375" style="0" customWidth="1"/>
    <col min="20" max="20" width="8.7109375" style="0" customWidth="1"/>
    <col min="21" max="21" width="12.28125" style="0" customWidth="1"/>
    <col min="22" max="22" width="11.28125" style="0" customWidth="1"/>
    <col min="23" max="23" width="5.28125" style="0" customWidth="1"/>
    <col min="24" max="24" width="5.7109375" style="0" customWidth="1"/>
    <col min="25" max="25" width="4.7109375" style="0" customWidth="1"/>
    <col min="26" max="28" width="4.8515625" style="0" customWidth="1"/>
    <col min="29" max="29" width="6.140625" style="0" customWidth="1"/>
    <col min="30" max="30" width="7.140625" style="0" customWidth="1"/>
    <col min="31" max="31" width="1.7109375" style="0" hidden="1" customWidth="1"/>
    <col min="32" max="35" width="4.7109375" style="0" customWidth="1"/>
    <col min="36" max="36" width="6.00390625" style="0" customWidth="1"/>
    <col min="37" max="37" width="5.00390625" style="0" customWidth="1"/>
    <col min="38" max="38" width="7.140625" style="0" customWidth="1"/>
    <col min="39" max="39" width="8.7109375" style="0" customWidth="1"/>
    <col min="40" max="40" width="1.7109375" style="0" hidden="1" customWidth="1"/>
    <col min="41" max="41" width="6.28125" style="0" customWidth="1"/>
    <col min="42" max="42" width="4.28125" style="0" customWidth="1"/>
    <col min="43" max="43" width="8.140625" style="0" customWidth="1"/>
    <col min="44" max="47" width="3.28125" style="0" customWidth="1"/>
    <col min="48" max="48" width="6.28125" style="0" customWidth="1"/>
    <col min="49" max="49" width="8.00390625" style="0" customWidth="1"/>
    <col min="50" max="53" width="2.7109375" style="0" hidden="1" customWidth="1"/>
    <col min="54" max="54" width="9.57421875" style="0" customWidth="1"/>
    <col min="55" max="56" width="9.57421875" style="0" hidden="1" customWidth="1"/>
    <col min="57" max="57" width="5.140625" style="0" hidden="1" customWidth="1"/>
    <col min="58" max="58" width="5.421875" style="0" hidden="1" customWidth="1"/>
    <col min="59" max="59" width="3.8515625" style="0" hidden="1" customWidth="1"/>
    <col min="60" max="61" width="5.57421875" style="0" hidden="1" customWidth="1"/>
    <col min="62" max="62" width="5.00390625" style="0" customWidth="1"/>
    <col min="64" max="65" width="5.7109375" style="0" customWidth="1"/>
    <col min="66" max="77" width="2.140625" style="0" customWidth="1"/>
    <col min="79" max="79" width="7.140625" style="0" customWidth="1"/>
    <col min="80" max="81" width="5.00390625" style="0" customWidth="1"/>
    <col min="82" max="82" width="5.8515625" style="0" bestFit="1" customWidth="1"/>
    <col min="83" max="83" width="2.7109375" style="0" customWidth="1"/>
    <col min="84" max="84" width="14.140625" style="0" customWidth="1"/>
  </cols>
  <sheetData>
    <row r="1" spans="1:84" s="9" customFormat="1" ht="12.75" customHeight="1">
      <c r="A1" s="2" t="s">
        <v>623</v>
      </c>
      <c r="B1" s="6" t="s">
        <v>620</v>
      </c>
      <c r="C1" s="2" t="s">
        <v>622</v>
      </c>
      <c r="D1" s="14"/>
      <c r="E1" s="6" t="s">
        <v>621</v>
      </c>
      <c r="F1" s="57" t="s">
        <v>1264</v>
      </c>
      <c r="G1" s="20"/>
      <c r="H1" s="20"/>
      <c r="I1" s="37" t="s">
        <v>749</v>
      </c>
      <c r="J1" s="6"/>
      <c r="K1" s="20"/>
      <c r="O1" s="20" t="s">
        <v>304</v>
      </c>
      <c r="P1" s="20"/>
      <c r="Q1" s="57" t="s">
        <v>1048</v>
      </c>
      <c r="R1" s="20"/>
      <c r="S1"/>
      <c r="T1" s="20"/>
      <c r="U1" s="20"/>
      <c r="V1" s="20"/>
      <c r="W1" s="551"/>
      <c r="X1" s="104" t="s">
        <v>1307</v>
      </c>
      <c r="Y1" s="22"/>
      <c r="Z1" s="22"/>
      <c r="AA1" s="22"/>
      <c r="AB1" s="22"/>
      <c r="AC1" s="20" t="s">
        <v>1308</v>
      </c>
      <c r="AD1" s="2"/>
      <c r="AE1"/>
      <c r="AF1" s="2"/>
      <c r="AG1" s="2"/>
      <c r="AH1" s="2"/>
      <c r="AI1" s="6"/>
      <c r="AJ1" s="8" t="s">
        <v>539</v>
      </c>
      <c r="AK1" s="10"/>
      <c r="AL1" s="58" t="s">
        <v>488</v>
      </c>
      <c r="AM1" s="2"/>
      <c r="AN1"/>
      <c r="AO1" s="59" t="s">
        <v>777</v>
      </c>
      <c r="AP1" s="38"/>
      <c r="AQ1" s="38"/>
      <c r="AR1" s="38"/>
      <c r="AS1" s="38"/>
      <c r="AT1" s="38"/>
      <c r="AU1" s="38"/>
      <c r="AV1" s="38"/>
      <c r="AW1" s="37" t="s">
        <v>437</v>
      </c>
      <c r="AX1" s="20"/>
      <c r="AY1" s="20"/>
      <c r="AZ1" s="20"/>
      <c r="BA1" s="20"/>
      <c r="BB1" s="548"/>
      <c r="BC1" s="594"/>
      <c r="BD1" s="594"/>
      <c r="BE1" s="37" t="s">
        <v>970</v>
      </c>
      <c r="BF1" s="20"/>
      <c r="BG1" s="20"/>
      <c r="BH1" s="201"/>
      <c r="BI1" s="20" t="s">
        <v>971</v>
      </c>
      <c r="BJ1" s="653" t="s">
        <v>972</v>
      </c>
      <c r="BK1" s="20" t="s">
        <v>973</v>
      </c>
      <c r="BL1" s="202" t="s">
        <v>33</v>
      </c>
      <c r="BM1" s="202"/>
      <c r="BN1" s="38"/>
      <c r="BO1" s="38"/>
      <c r="BP1" s="38"/>
      <c r="BQ1" s="10"/>
      <c r="BR1" s="10"/>
      <c r="BS1" s="10"/>
      <c r="BT1" s="10"/>
      <c r="BU1" s="10"/>
      <c r="BV1" s="10"/>
      <c r="BW1" s="10"/>
      <c r="BX1" s="10"/>
      <c r="BY1" s="10"/>
      <c r="BZ1" s="10"/>
      <c r="CA1" s="129" t="s">
        <v>546</v>
      </c>
      <c r="CB1" s="199" t="s">
        <v>1482</v>
      </c>
      <c r="CC1" s="199"/>
      <c r="CD1" s="199"/>
      <c r="CE1" s="135" t="s">
        <v>1434</v>
      </c>
      <c r="CF1" s="38"/>
    </row>
    <row r="2" spans="1:84" s="26" customFormat="1" ht="12.75" customHeight="1">
      <c r="A2" s="25"/>
      <c r="B2" s="30"/>
      <c r="C2" s="25"/>
      <c r="D2" s="27"/>
      <c r="E2" s="30"/>
      <c r="F2" s="25" t="s">
        <v>751</v>
      </c>
      <c r="G2" s="25" t="s">
        <v>752</v>
      </c>
      <c r="H2" s="31" t="s">
        <v>750</v>
      </c>
      <c r="I2" s="25" t="s">
        <v>751</v>
      </c>
      <c r="J2" s="25" t="s">
        <v>753</v>
      </c>
      <c r="K2" s="25" t="s">
        <v>1247</v>
      </c>
      <c r="L2" s="31" t="s">
        <v>828</v>
      </c>
      <c r="M2" s="30" t="s">
        <v>829</v>
      </c>
      <c r="N2" s="25" t="s">
        <v>1246</v>
      </c>
      <c r="O2" s="212" t="s">
        <v>505</v>
      </c>
      <c r="P2" s="212" t="s">
        <v>1525</v>
      </c>
      <c r="Q2" s="31" t="s">
        <v>754</v>
      </c>
      <c r="R2" s="63" t="s">
        <v>169</v>
      </c>
      <c r="S2"/>
      <c r="T2" s="31" t="s">
        <v>618</v>
      </c>
      <c r="U2" s="25" t="s">
        <v>61</v>
      </c>
      <c r="V2" s="25" t="s">
        <v>974</v>
      </c>
      <c r="W2" s="551" t="s">
        <v>386</v>
      </c>
      <c r="X2" s="20" t="s">
        <v>755</v>
      </c>
      <c r="Y2" s="66" t="s">
        <v>1304</v>
      </c>
      <c r="Z2" s="87" t="s">
        <v>1305</v>
      </c>
      <c r="AA2" s="67" t="s">
        <v>1306</v>
      </c>
      <c r="AB2" s="68" t="s">
        <v>655</v>
      </c>
      <c r="AC2" s="37"/>
      <c r="AD2" s="26" t="s">
        <v>190</v>
      </c>
      <c r="AE2"/>
      <c r="AF2" s="66" t="s">
        <v>1304</v>
      </c>
      <c r="AG2" s="87" t="s">
        <v>1305</v>
      </c>
      <c r="AH2" s="67" t="s">
        <v>1306</v>
      </c>
      <c r="AI2" s="68" t="s">
        <v>655</v>
      </c>
      <c r="AJ2" s="28" t="s">
        <v>538</v>
      </c>
      <c r="AK2" s="29" t="s">
        <v>155</v>
      </c>
      <c r="AL2" s="65" t="s">
        <v>1786</v>
      </c>
      <c r="AM2" s="26" t="s">
        <v>190</v>
      </c>
      <c r="AN2"/>
      <c r="AO2" s="152" t="s">
        <v>93</v>
      </c>
      <c r="AP2" s="29" t="s">
        <v>95</v>
      </c>
      <c r="AQ2" s="64" t="s">
        <v>96</v>
      </c>
      <c r="AR2" s="89" t="s">
        <v>1703</v>
      </c>
      <c r="AS2" s="637" t="s">
        <v>1704</v>
      </c>
      <c r="AT2" s="90" t="s">
        <v>98</v>
      </c>
      <c r="AU2" s="88" t="s">
        <v>97</v>
      </c>
      <c r="AV2" s="64" t="s">
        <v>461</v>
      </c>
      <c r="AW2" s="151" t="s">
        <v>617</v>
      </c>
      <c r="AX2" s="75" t="s">
        <v>1198</v>
      </c>
      <c r="AY2" s="638" t="s">
        <v>1300</v>
      </c>
      <c r="AZ2" s="97" t="s">
        <v>1085</v>
      </c>
      <c r="BA2" s="74" t="s">
        <v>1070</v>
      </c>
      <c r="BB2" s="549" t="s">
        <v>391</v>
      </c>
      <c r="BC2" s="595"/>
      <c r="BD2" s="595"/>
      <c r="BE2" s="239" t="s">
        <v>392</v>
      </c>
      <c r="BF2" s="239" t="s">
        <v>93</v>
      </c>
      <c r="BG2" s="239" t="s">
        <v>393</v>
      </c>
      <c r="BH2" s="540" t="s">
        <v>4</v>
      </c>
      <c r="BI2" s="203"/>
      <c r="BJ2" s="654" t="s">
        <v>394</v>
      </c>
      <c r="BK2" s="652"/>
      <c r="BL2" s="241"/>
      <c r="BM2" s="242"/>
      <c r="BN2" s="92" t="s">
        <v>146</v>
      </c>
      <c r="BO2" s="639" t="s">
        <v>146</v>
      </c>
      <c r="BP2" s="93" t="s">
        <v>146</v>
      </c>
      <c r="BQ2" s="91" t="s">
        <v>146</v>
      </c>
      <c r="BR2" s="89" t="s">
        <v>291</v>
      </c>
      <c r="BS2" s="637" t="s">
        <v>291</v>
      </c>
      <c r="BT2" s="90" t="s">
        <v>291</v>
      </c>
      <c r="BU2" s="88" t="s">
        <v>291</v>
      </c>
      <c r="BV2" s="92" t="s">
        <v>1266</v>
      </c>
      <c r="BW2" s="639" t="s">
        <v>1266</v>
      </c>
      <c r="BX2" s="93" t="s">
        <v>1266</v>
      </c>
      <c r="BY2" s="91" t="s">
        <v>1266</v>
      </c>
      <c r="BZ2" s="29" t="s">
        <v>1134</v>
      </c>
      <c r="CA2" s="130" t="s">
        <v>547</v>
      </c>
      <c r="CB2" s="199" t="s">
        <v>396</v>
      </c>
      <c r="CC2" s="199" t="s">
        <v>917</v>
      </c>
      <c r="CD2" s="199" t="s">
        <v>918</v>
      </c>
      <c r="CE2" s="136" t="s">
        <v>1435</v>
      </c>
      <c r="CF2" s="545"/>
    </row>
    <row r="3" spans="1:84" s="134" customFormat="1" ht="5.25" customHeight="1">
      <c r="A3" s="750"/>
      <c r="B3" s="750"/>
      <c r="C3" s="750"/>
      <c r="D3" s="750"/>
      <c r="E3" s="771"/>
      <c r="F3" s="750"/>
      <c r="G3" s="750"/>
      <c r="H3" s="750"/>
      <c r="I3" s="750"/>
      <c r="J3" s="750"/>
      <c r="K3" s="750"/>
      <c r="L3" s="772"/>
      <c r="M3" s="750"/>
      <c r="N3" s="750"/>
      <c r="O3" s="773"/>
      <c r="P3" s="774"/>
      <c r="Q3" s="772"/>
      <c r="R3" s="774"/>
      <c r="S3" s="775"/>
      <c r="T3" s="750"/>
      <c r="U3" s="750"/>
      <c r="V3" s="750"/>
      <c r="W3" s="776"/>
      <c r="X3" s="750"/>
      <c r="Y3" s="777"/>
      <c r="Z3" s="777"/>
      <c r="AA3" s="777"/>
      <c r="AB3" s="778"/>
      <c r="AC3" s="779"/>
      <c r="AE3" s="775"/>
      <c r="AF3" s="777"/>
      <c r="AG3" s="777"/>
      <c r="AH3" s="777"/>
      <c r="AI3" s="777"/>
      <c r="AJ3" s="780"/>
      <c r="AK3" s="781"/>
      <c r="AL3" s="782"/>
      <c r="AN3" s="775"/>
      <c r="AO3" s="783"/>
      <c r="AP3" s="781"/>
      <c r="AQ3" s="784"/>
      <c r="AR3" s="753"/>
      <c r="AS3" s="753"/>
      <c r="AT3" s="753"/>
      <c r="AU3" s="753"/>
      <c r="AV3" s="784"/>
      <c r="AW3" s="785"/>
      <c r="AX3" s="786"/>
      <c r="AY3" s="786"/>
      <c r="AZ3" s="787"/>
      <c r="BA3" s="786"/>
      <c r="BB3" s="788"/>
      <c r="BC3" s="775"/>
      <c r="BD3" s="775"/>
      <c r="BE3" s="775"/>
      <c r="BF3" s="775"/>
      <c r="BG3" s="775"/>
      <c r="BH3" s="775"/>
      <c r="BI3" s="775"/>
      <c r="BJ3" s="789"/>
      <c r="BK3" s="775"/>
      <c r="BL3" s="790"/>
      <c r="BM3" s="780"/>
      <c r="BN3" s="751"/>
      <c r="BO3" s="752"/>
      <c r="BP3" s="752"/>
      <c r="BQ3" s="752"/>
      <c r="BR3" s="753"/>
      <c r="BS3" s="753"/>
      <c r="BT3" s="753"/>
      <c r="BU3" s="753"/>
      <c r="BV3" s="752"/>
      <c r="BW3" s="752"/>
      <c r="BX3" s="752"/>
      <c r="BY3" s="752"/>
      <c r="BZ3" s="781"/>
      <c r="CA3" s="599"/>
      <c r="CB3" s="599"/>
      <c r="CC3" s="599"/>
      <c r="CD3" s="599"/>
      <c r="CE3" s="135" t="s">
        <v>1436</v>
      </c>
      <c r="CF3" s="791"/>
    </row>
    <row r="4" spans="1:84" ht="12.75">
      <c r="A4" s="196" t="s">
        <v>1086</v>
      </c>
      <c r="B4" s="117" t="s">
        <v>540</v>
      </c>
      <c r="C4" s="308" t="s">
        <v>827</v>
      </c>
      <c r="D4" s="60">
        <v>75</v>
      </c>
      <c r="E4" s="348" t="s">
        <v>571</v>
      </c>
      <c r="F4" s="15">
        <v>8</v>
      </c>
      <c r="G4" s="18">
        <v>4</v>
      </c>
      <c r="H4" s="17">
        <v>8</v>
      </c>
      <c r="I4" s="16">
        <v>2</v>
      </c>
      <c r="J4" s="186">
        <v>8</v>
      </c>
      <c r="K4" s="192">
        <v>3</v>
      </c>
      <c r="L4" s="876">
        <v>505</v>
      </c>
      <c r="M4" s="893">
        <v>20500</v>
      </c>
      <c r="N4" s="106">
        <v>350</v>
      </c>
      <c r="O4" s="454">
        <v>75</v>
      </c>
      <c r="P4" s="568">
        <v>75</v>
      </c>
      <c r="Q4" s="11">
        <v>9961</v>
      </c>
      <c r="R4" s="98">
        <v>675</v>
      </c>
      <c r="S4" s="99"/>
      <c r="T4" s="127">
        <v>110000</v>
      </c>
      <c r="U4" s="100">
        <v>486000</v>
      </c>
      <c r="V4" s="100">
        <v>50000</v>
      </c>
      <c r="W4" s="552">
        <v>0.155</v>
      </c>
      <c r="X4" s="147">
        <v>11250</v>
      </c>
      <c r="Y4" s="138">
        <v>50</v>
      </c>
      <c r="Z4" s="52">
        <v>20</v>
      </c>
      <c r="AA4" s="52">
        <v>25</v>
      </c>
      <c r="AB4" s="53">
        <v>35</v>
      </c>
      <c r="AC4" s="149">
        <v>9316</v>
      </c>
      <c r="AD4" s="141">
        <v>2500</v>
      </c>
      <c r="AF4" s="40">
        <v>0</v>
      </c>
      <c r="AG4" s="41">
        <v>50</v>
      </c>
      <c r="AH4" s="41">
        <v>40</v>
      </c>
      <c r="AI4" s="42">
        <v>20</v>
      </c>
      <c r="AJ4" s="5">
        <f aca="true" t="shared" si="0" ref="AJ4:AJ44">Q4+X4+AC4</f>
        <v>30527</v>
      </c>
      <c r="AK4" s="103" t="str">
        <f aca="true" t="shared" si="1" ref="AK4:AK46">IF($X4=$AC4,"=",IF(MAX($AC4,$X4)*0.1&gt;ABS($X4-$AC4),"~",IF(MAX($AC4,$X4)=$X4,"A","S")))</f>
        <v>A</v>
      </c>
      <c r="AL4" s="862">
        <v>7500</v>
      </c>
      <c r="AM4" s="101">
        <v>1154.88</v>
      </c>
      <c r="AO4" s="146">
        <v>67</v>
      </c>
      <c r="AP4" s="179" t="s">
        <v>462</v>
      </c>
      <c r="AQ4" s="125">
        <v>95</v>
      </c>
      <c r="AR4" s="70">
        <v>22</v>
      </c>
      <c r="AS4" s="71">
        <v>0</v>
      </c>
      <c r="AT4" s="71">
        <v>0</v>
      </c>
      <c r="AU4" s="72">
        <v>0</v>
      </c>
      <c r="AV4" s="7">
        <v>400</v>
      </c>
      <c r="AW4" s="144">
        <v>115</v>
      </c>
      <c r="AX4" s="55">
        <v>10</v>
      </c>
      <c r="AY4" s="23">
        <v>0</v>
      </c>
      <c r="AZ4" s="23">
        <v>0</v>
      </c>
      <c r="BA4" s="83">
        <v>0</v>
      </c>
      <c r="BB4" s="596">
        <v>3</v>
      </c>
      <c r="BC4" s="596"/>
      <c r="BD4" s="553"/>
      <c r="BE4" s="596"/>
      <c r="BF4" s="596"/>
      <c r="BG4" s="596"/>
      <c r="BH4" s="596"/>
      <c r="BI4" s="596"/>
      <c r="BJ4" s="700" t="s">
        <v>1476</v>
      </c>
      <c r="BK4" s="310" t="s">
        <v>136</v>
      </c>
      <c r="BL4" s="420" t="s">
        <v>1452</v>
      </c>
      <c r="BM4" s="32" t="s">
        <v>1397</v>
      </c>
      <c r="BN4" s="640" t="s">
        <v>463</v>
      </c>
      <c r="BO4" s="641"/>
      <c r="BP4" s="78"/>
      <c r="BQ4" s="76"/>
      <c r="BR4" s="77" t="s">
        <v>463</v>
      </c>
      <c r="BS4" s="641"/>
      <c r="BT4" s="78"/>
      <c r="BU4" s="76"/>
      <c r="BV4" s="77" t="s">
        <v>467</v>
      </c>
      <c r="BW4" s="641"/>
      <c r="BX4" s="78"/>
      <c r="BY4" s="94"/>
      <c r="BZ4" s="793" t="s">
        <v>92</v>
      </c>
      <c r="CA4" s="131" t="s">
        <v>113</v>
      </c>
      <c r="CB4" s="608"/>
      <c r="CC4" s="613">
        <v>8</v>
      </c>
      <c r="CD4" s="614">
        <v>3</v>
      </c>
      <c r="CE4" s="136" t="s">
        <v>1437</v>
      </c>
      <c r="CF4" s="546"/>
    </row>
    <row r="5" spans="1:84" ht="12.75">
      <c r="A5" s="196" t="s">
        <v>1244</v>
      </c>
      <c r="B5" s="117" t="s">
        <v>540</v>
      </c>
      <c r="C5" s="308" t="s">
        <v>827</v>
      </c>
      <c r="D5" s="116">
        <v>75</v>
      </c>
      <c r="E5" s="348" t="s">
        <v>571</v>
      </c>
      <c r="F5" s="15">
        <v>8</v>
      </c>
      <c r="G5" s="18">
        <v>5</v>
      </c>
      <c r="H5" s="17">
        <v>8</v>
      </c>
      <c r="I5" s="16">
        <v>2</v>
      </c>
      <c r="J5" s="186">
        <v>8</v>
      </c>
      <c r="K5" s="192">
        <v>3</v>
      </c>
      <c r="L5" s="876">
        <v>600</v>
      </c>
      <c r="M5" s="893">
        <v>24500</v>
      </c>
      <c r="N5" s="106">
        <v>350</v>
      </c>
      <c r="O5" s="454">
        <v>150</v>
      </c>
      <c r="P5" s="568">
        <v>150</v>
      </c>
      <c r="Q5" s="11">
        <v>9375</v>
      </c>
      <c r="R5" s="98">
        <v>675</v>
      </c>
      <c r="S5" s="99"/>
      <c r="T5" s="127">
        <v>107500</v>
      </c>
      <c r="U5" s="100">
        <v>517500</v>
      </c>
      <c r="V5" s="100">
        <v>50000</v>
      </c>
      <c r="W5" s="552"/>
      <c r="X5" s="147">
        <v>10938</v>
      </c>
      <c r="Y5" s="138">
        <v>50</v>
      </c>
      <c r="Z5" s="52">
        <v>20</v>
      </c>
      <c r="AA5" s="52">
        <v>25</v>
      </c>
      <c r="AB5" s="53">
        <v>35</v>
      </c>
      <c r="AC5" s="149">
        <v>8060</v>
      </c>
      <c r="AD5" s="141">
        <v>2500</v>
      </c>
      <c r="AF5" s="40">
        <v>0</v>
      </c>
      <c r="AG5" s="41">
        <v>50</v>
      </c>
      <c r="AH5" s="41">
        <v>40</v>
      </c>
      <c r="AI5" s="42">
        <v>20</v>
      </c>
      <c r="AJ5" s="5">
        <f t="shared" si="0"/>
        <v>28373</v>
      </c>
      <c r="AK5" s="103" t="str">
        <f t="shared" si="1"/>
        <v>A</v>
      </c>
      <c r="AL5" s="908">
        <v>7500</v>
      </c>
      <c r="AM5" s="101">
        <v>1250</v>
      </c>
      <c r="AO5" s="146">
        <v>77</v>
      </c>
      <c r="AP5" s="179" t="s">
        <v>462</v>
      </c>
      <c r="AQ5" s="125">
        <v>95</v>
      </c>
      <c r="AR5" s="70">
        <v>34</v>
      </c>
      <c r="AS5" s="71">
        <v>0</v>
      </c>
      <c r="AT5" s="71">
        <v>0</v>
      </c>
      <c r="AU5" s="72">
        <v>0</v>
      </c>
      <c r="AV5" s="7">
        <v>400</v>
      </c>
      <c r="AW5" s="144">
        <v>120</v>
      </c>
      <c r="AX5" s="55">
        <v>12</v>
      </c>
      <c r="AY5" s="23">
        <v>0</v>
      </c>
      <c r="AZ5" s="23">
        <v>0</v>
      </c>
      <c r="BA5" s="83">
        <v>0</v>
      </c>
      <c r="BB5" s="596"/>
      <c r="BC5" s="596"/>
      <c r="BD5" s="553"/>
      <c r="BE5" s="596"/>
      <c r="BF5" s="596"/>
      <c r="BG5" s="596"/>
      <c r="BH5" s="596"/>
      <c r="BI5" s="596"/>
      <c r="BJ5" s="700" t="s">
        <v>1476</v>
      </c>
      <c r="BK5" s="310" t="s">
        <v>136</v>
      </c>
      <c r="BL5" s="420" t="s">
        <v>906</v>
      </c>
      <c r="BM5" s="32" t="s">
        <v>110</v>
      </c>
      <c r="BN5" s="640" t="s">
        <v>463</v>
      </c>
      <c r="BO5" s="641"/>
      <c r="BP5" s="78"/>
      <c r="BQ5" s="76"/>
      <c r="BR5" s="77" t="s">
        <v>463</v>
      </c>
      <c r="BS5" s="641"/>
      <c r="BT5" s="78"/>
      <c r="BU5" s="76"/>
      <c r="BV5" s="77" t="s">
        <v>467</v>
      </c>
      <c r="BW5" s="641"/>
      <c r="BX5" s="78"/>
      <c r="BY5" s="94"/>
      <c r="BZ5" s="793" t="s">
        <v>92</v>
      </c>
      <c r="CA5" s="131">
        <v>11936</v>
      </c>
      <c r="CB5" s="608"/>
      <c r="CC5" s="613">
        <v>8</v>
      </c>
      <c r="CD5" s="614">
        <v>5</v>
      </c>
      <c r="CE5" s="135" t="s">
        <v>1438</v>
      </c>
      <c r="CF5" s="546">
        <v>108750000</v>
      </c>
    </row>
    <row r="6" spans="1:84" ht="12.75">
      <c r="A6" s="196" t="s">
        <v>1288</v>
      </c>
      <c r="B6" s="117" t="s">
        <v>1046</v>
      </c>
      <c r="C6" s="308" t="s">
        <v>827</v>
      </c>
      <c r="D6" s="60">
        <v>75</v>
      </c>
      <c r="E6" s="348" t="s">
        <v>571</v>
      </c>
      <c r="F6" s="15">
        <v>8</v>
      </c>
      <c r="G6" s="18">
        <v>4</v>
      </c>
      <c r="H6" s="17">
        <v>8</v>
      </c>
      <c r="I6" s="16">
        <v>0</v>
      </c>
      <c r="J6" s="186">
        <v>7</v>
      </c>
      <c r="K6" s="192">
        <v>3</v>
      </c>
      <c r="L6" s="876">
        <v>500</v>
      </c>
      <c r="M6" s="893">
        <v>21000</v>
      </c>
      <c r="N6" s="106">
        <v>350</v>
      </c>
      <c r="O6" s="454">
        <v>150</v>
      </c>
      <c r="P6" s="568">
        <v>150</v>
      </c>
      <c r="Q6" s="11">
        <v>8075</v>
      </c>
      <c r="R6" s="98">
        <v>600</v>
      </c>
      <c r="S6" s="99"/>
      <c r="T6" s="127">
        <v>110000</v>
      </c>
      <c r="U6" s="100">
        <v>495000</v>
      </c>
      <c r="V6" s="100">
        <v>50000</v>
      </c>
      <c r="W6" s="552"/>
      <c r="X6" s="147">
        <v>9500</v>
      </c>
      <c r="Y6" s="138">
        <v>50</v>
      </c>
      <c r="Z6" s="52">
        <v>20</v>
      </c>
      <c r="AA6" s="52">
        <v>25</v>
      </c>
      <c r="AB6" s="53">
        <v>35</v>
      </c>
      <c r="AC6" s="149">
        <v>7150</v>
      </c>
      <c r="AD6" s="141">
        <v>2500</v>
      </c>
      <c r="AF6" s="40">
        <v>0</v>
      </c>
      <c r="AG6" s="41">
        <v>50</v>
      </c>
      <c r="AH6" s="41">
        <v>40</v>
      </c>
      <c r="AI6" s="42">
        <v>20</v>
      </c>
      <c r="AJ6" s="5">
        <f t="shared" si="0"/>
        <v>24725</v>
      </c>
      <c r="AK6" s="103" t="str">
        <f t="shared" si="1"/>
        <v>A</v>
      </c>
      <c r="AL6" s="862">
        <v>6640</v>
      </c>
      <c r="AM6" s="101">
        <v>1150</v>
      </c>
      <c r="AO6" s="146">
        <v>75</v>
      </c>
      <c r="AP6" s="179" t="s">
        <v>462</v>
      </c>
      <c r="AQ6" s="125">
        <v>110</v>
      </c>
      <c r="AR6" s="70">
        <v>31</v>
      </c>
      <c r="AS6" s="71">
        <v>0</v>
      </c>
      <c r="AT6" s="71">
        <v>0</v>
      </c>
      <c r="AU6" s="72">
        <v>0</v>
      </c>
      <c r="AV6" s="7">
        <v>400</v>
      </c>
      <c r="AW6" s="144">
        <v>120</v>
      </c>
      <c r="AX6" s="55">
        <v>12</v>
      </c>
      <c r="AY6" s="23">
        <v>0</v>
      </c>
      <c r="AZ6" s="23">
        <v>0</v>
      </c>
      <c r="BA6" s="83">
        <v>0</v>
      </c>
      <c r="BB6" s="596"/>
      <c r="BC6" s="596"/>
      <c r="BD6" s="553"/>
      <c r="BE6" s="596"/>
      <c r="BF6" s="596"/>
      <c r="BG6" s="596"/>
      <c r="BH6" s="596"/>
      <c r="BI6" s="596"/>
      <c r="BJ6" s="700" t="s">
        <v>1476</v>
      </c>
      <c r="BK6" s="310" t="s">
        <v>136</v>
      </c>
      <c r="BL6" s="420" t="s">
        <v>213</v>
      </c>
      <c r="BM6" s="32" t="s">
        <v>1119</v>
      </c>
      <c r="BN6" s="635" t="s">
        <v>463</v>
      </c>
      <c r="BO6" s="641"/>
      <c r="BP6" s="78"/>
      <c r="BQ6" s="76"/>
      <c r="BR6" s="79" t="s">
        <v>463</v>
      </c>
      <c r="BS6" s="641"/>
      <c r="BT6" s="78"/>
      <c r="BU6" s="76"/>
      <c r="BV6" s="79" t="s">
        <v>464</v>
      </c>
      <c r="BW6" s="641"/>
      <c r="BX6" s="78"/>
      <c r="BY6" s="94"/>
      <c r="BZ6" s="793" t="s">
        <v>92</v>
      </c>
      <c r="CA6" s="131">
        <v>11938</v>
      </c>
      <c r="CB6" s="608"/>
      <c r="CC6" s="613">
        <f>7*1.25</f>
        <v>8.75</v>
      </c>
      <c r="CD6" s="614">
        <v>5</v>
      </c>
      <c r="CE6" s="136" t="s">
        <v>1439</v>
      </c>
      <c r="CF6" s="546">
        <v>108750000</v>
      </c>
    </row>
    <row r="7" spans="1:84" ht="12.75">
      <c r="A7" s="115" t="s">
        <v>1667</v>
      </c>
      <c r="B7" s="69" t="s">
        <v>1667</v>
      </c>
      <c r="C7" s="795" t="s">
        <v>994</v>
      </c>
      <c r="D7" s="60">
        <v>75</v>
      </c>
      <c r="E7" s="348" t="s">
        <v>571</v>
      </c>
      <c r="F7" s="15">
        <v>7</v>
      </c>
      <c r="G7" s="18">
        <v>5</v>
      </c>
      <c r="H7" s="17">
        <v>8</v>
      </c>
      <c r="I7" s="16">
        <v>4</v>
      </c>
      <c r="J7" s="186">
        <v>6</v>
      </c>
      <c r="K7" s="192">
        <v>3</v>
      </c>
      <c r="L7" s="876">
        <v>550</v>
      </c>
      <c r="M7" s="893">
        <v>15500</v>
      </c>
      <c r="N7" s="106">
        <v>350</v>
      </c>
      <c r="O7" s="454">
        <v>75</v>
      </c>
      <c r="P7" s="568">
        <v>75</v>
      </c>
      <c r="Q7" s="11">
        <v>9298</v>
      </c>
      <c r="R7" s="98">
        <v>665</v>
      </c>
      <c r="S7" s="99"/>
      <c r="T7" s="127">
        <v>110000</v>
      </c>
      <c r="U7" s="100">
        <v>486000</v>
      </c>
      <c r="V7" s="100">
        <v>50000</v>
      </c>
      <c r="W7" s="552"/>
      <c r="X7" s="147">
        <v>8695</v>
      </c>
      <c r="Y7" s="138">
        <v>60</v>
      </c>
      <c r="Z7" s="52">
        <v>10</v>
      </c>
      <c r="AA7" s="52">
        <v>25</v>
      </c>
      <c r="AB7" s="53">
        <v>35</v>
      </c>
      <c r="AC7" s="149">
        <v>9735</v>
      </c>
      <c r="AD7" s="141">
        <v>2500</v>
      </c>
      <c r="AF7" s="40">
        <v>0</v>
      </c>
      <c r="AG7" s="41">
        <v>50</v>
      </c>
      <c r="AH7" s="41">
        <v>40</v>
      </c>
      <c r="AI7" s="42">
        <v>20</v>
      </c>
      <c r="AJ7" s="5">
        <f t="shared" si="0"/>
        <v>27728</v>
      </c>
      <c r="AK7" s="103" t="str">
        <f t="shared" si="1"/>
        <v>S</v>
      </c>
      <c r="AL7" s="862">
        <v>5312</v>
      </c>
      <c r="AM7" s="101">
        <v>1154.88</v>
      </c>
      <c r="AO7" s="146">
        <v>62</v>
      </c>
      <c r="AP7" s="179" t="s">
        <v>462</v>
      </c>
      <c r="AQ7" s="125">
        <v>100</v>
      </c>
      <c r="AR7" s="70">
        <v>0</v>
      </c>
      <c r="AS7" s="71">
        <v>0</v>
      </c>
      <c r="AT7" s="71">
        <v>0</v>
      </c>
      <c r="AU7" s="72">
        <v>20</v>
      </c>
      <c r="AV7" s="7">
        <v>340</v>
      </c>
      <c r="AW7" s="144">
        <v>196</v>
      </c>
      <c r="AX7" s="56">
        <v>0</v>
      </c>
      <c r="AY7" s="34">
        <v>0</v>
      </c>
      <c r="AZ7" s="34">
        <v>0</v>
      </c>
      <c r="BA7" s="84">
        <v>12</v>
      </c>
      <c r="BB7" s="596"/>
      <c r="BC7" s="596"/>
      <c r="BD7" s="553"/>
      <c r="BE7" s="596"/>
      <c r="BF7" s="596"/>
      <c r="BG7" s="596"/>
      <c r="BH7" s="596"/>
      <c r="BI7" s="596"/>
      <c r="BJ7" s="700" t="s">
        <v>1476</v>
      </c>
      <c r="BK7" s="310" t="s">
        <v>136</v>
      </c>
      <c r="BL7" s="420" t="s">
        <v>1141</v>
      </c>
      <c r="BM7" s="32" t="s">
        <v>170</v>
      </c>
      <c r="BN7" s="640"/>
      <c r="BO7" s="641"/>
      <c r="BP7" s="763" t="s">
        <v>463</v>
      </c>
      <c r="BQ7" s="761" t="s">
        <v>463</v>
      </c>
      <c r="BR7" s="77"/>
      <c r="BS7" s="641"/>
      <c r="BT7" s="763" t="s">
        <v>463</v>
      </c>
      <c r="BU7" s="761" t="s">
        <v>463</v>
      </c>
      <c r="BV7" s="77"/>
      <c r="BW7" s="641"/>
      <c r="BX7" s="763" t="s">
        <v>464</v>
      </c>
      <c r="BY7" s="770" t="s">
        <v>464</v>
      </c>
      <c r="BZ7" s="833" t="s">
        <v>1132</v>
      </c>
      <c r="CA7" s="131" t="s">
        <v>112</v>
      </c>
      <c r="CB7" s="608"/>
      <c r="CC7" s="613">
        <f>6*1.5</f>
        <v>9</v>
      </c>
      <c r="CD7" s="614">
        <v>3</v>
      </c>
      <c r="CE7" s="135" t="s">
        <v>1440</v>
      </c>
      <c r="CF7" s="546">
        <v>108750000</v>
      </c>
    </row>
    <row r="8" spans="1:84" ht="12.75">
      <c r="A8" s="115" t="s">
        <v>554</v>
      </c>
      <c r="B8" s="117" t="s">
        <v>1156</v>
      </c>
      <c r="C8" s="796" t="s">
        <v>929</v>
      </c>
      <c r="D8" s="60">
        <v>75</v>
      </c>
      <c r="E8" s="348" t="s">
        <v>571</v>
      </c>
      <c r="F8" s="15">
        <v>7</v>
      </c>
      <c r="G8" s="739">
        <v>5</v>
      </c>
      <c r="H8" s="732">
        <v>8</v>
      </c>
      <c r="I8" s="16">
        <v>2</v>
      </c>
      <c r="J8" s="738">
        <v>8</v>
      </c>
      <c r="K8" s="192">
        <v>3</v>
      </c>
      <c r="L8" s="876">
        <v>500</v>
      </c>
      <c r="M8" s="893">
        <v>19500</v>
      </c>
      <c r="N8" s="106">
        <v>350</v>
      </c>
      <c r="O8" s="454">
        <v>75</v>
      </c>
      <c r="P8" s="568">
        <v>75</v>
      </c>
      <c r="Q8" s="11">
        <v>9298</v>
      </c>
      <c r="R8" s="98">
        <v>675</v>
      </c>
      <c r="S8" s="99"/>
      <c r="T8" s="127">
        <v>107500</v>
      </c>
      <c r="U8" s="100">
        <v>517500</v>
      </c>
      <c r="V8" s="100">
        <v>50000</v>
      </c>
      <c r="W8" s="552"/>
      <c r="X8" s="147">
        <v>10500</v>
      </c>
      <c r="Y8" s="138">
        <v>50</v>
      </c>
      <c r="Z8" s="52">
        <v>20</v>
      </c>
      <c r="AA8" s="52">
        <v>25</v>
      </c>
      <c r="AB8" s="53">
        <v>35</v>
      </c>
      <c r="AC8" s="149">
        <v>8695</v>
      </c>
      <c r="AD8" s="141">
        <v>2500</v>
      </c>
      <c r="AF8" s="40">
        <v>0</v>
      </c>
      <c r="AG8" s="41">
        <v>50</v>
      </c>
      <c r="AH8" s="41">
        <v>40</v>
      </c>
      <c r="AI8" s="42">
        <v>20</v>
      </c>
      <c r="AJ8" s="5">
        <f t="shared" si="0"/>
        <v>28493</v>
      </c>
      <c r="AK8" s="103" t="str">
        <f t="shared" si="1"/>
        <v>A</v>
      </c>
      <c r="AL8" s="862">
        <v>6900</v>
      </c>
      <c r="AM8" s="101">
        <v>1154.88</v>
      </c>
      <c r="AO8" s="146">
        <v>67</v>
      </c>
      <c r="AP8" s="179" t="s">
        <v>462</v>
      </c>
      <c r="AQ8" s="125">
        <v>95</v>
      </c>
      <c r="AR8" s="70">
        <v>21</v>
      </c>
      <c r="AS8" s="71">
        <v>0</v>
      </c>
      <c r="AT8" s="71">
        <v>0</v>
      </c>
      <c r="AU8" s="72">
        <v>0</v>
      </c>
      <c r="AV8" s="7">
        <v>400</v>
      </c>
      <c r="AW8" s="144">
        <v>115</v>
      </c>
      <c r="AX8" s="56">
        <v>11</v>
      </c>
      <c r="AY8" s="34">
        <v>0</v>
      </c>
      <c r="AZ8" s="34">
        <v>0</v>
      </c>
      <c r="BA8" s="84">
        <v>0</v>
      </c>
      <c r="BB8" s="596"/>
      <c r="BC8" s="596"/>
      <c r="BD8" s="553"/>
      <c r="BE8" s="596"/>
      <c r="BF8" s="596"/>
      <c r="BG8" s="596"/>
      <c r="BH8" s="596"/>
      <c r="BI8" s="596"/>
      <c r="BJ8" s="700" t="s">
        <v>1476</v>
      </c>
      <c r="BK8" s="310" t="s">
        <v>136</v>
      </c>
      <c r="BL8" s="420" t="s">
        <v>1378</v>
      </c>
      <c r="BM8" s="32" t="s">
        <v>1293</v>
      </c>
      <c r="BN8" s="757" t="s">
        <v>463</v>
      </c>
      <c r="BO8" s="641"/>
      <c r="BP8" s="78"/>
      <c r="BQ8" s="82" t="s">
        <v>463</v>
      </c>
      <c r="BR8" s="764" t="s">
        <v>463</v>
      </c>
      <c r="BS8" s="641"/>
      <c r="BT8" s="78"/>
      <c r="BU8" s="82" t="s">
        <v>463</v>
      </c>
      <c r="BV8" s="764" t="s">
        <v>464</v>
      </c>
      <c r="BW8" s="641"/>
      <c r="BX8" s="78"/>
      <c r="BY8" s="96" t="s">
        <v>464</v>
      </c>
      <c r="BZ8" s="833" t="s">
        <v>92</v>
      </c>
      <c r="CA8" s="131" t="s">
        <v>1431</v>
      </c>
      <c r="CB8" s="608"/>
      <c r="CC8" s="613">
        <v>8</v>
      </c>
      <c r="CD8" s="614">
        <v>3</v>
      </c>
      <c r="CE8" s="136" t="s">
        <v>120</v>
      </c>
      <c r="CF8" s="546">
        <v>112500000</v>
      </c>
    </row>
    <row r="9" spans="1:83" s="54" customFormat="1" ht="12.75">
      <c r="A9" s="176" t="s">
        <v>679</v>
      </c>
      <c r="B9" s="176" t="s">
        <v>12</v>
      </c>
      <c r="C9" s="636" t="s">
        <v>865</v>
      </c>
      <c r="D9" s="123"/>
      <c r="E9" s="348" t="s">
        <v>571</v>
      </c>
      <c r="F9" s="181">
        <v>6</v>
      </c>
      <c r="G9" s="182">
        <v>6</v>
      </c>
      <c r="H9" s="183">
        <v>8</v>
      </c>
      <c r="I9" s="754">
        <v>8</v>
      </c>
      <c r="J9" s="189">
        <v>2</v>
      </c>
      <c r="K9" s="188">
        <v>3</v>
      </c>
      <c r="L9" s="877">
        <v>800</v>
      </c>
      <c r="M9" s="892">
        <v>12500</v>
      </c>
      <c r="N9" s="195">
        <v>200</v>
      </c>
      <c r="O9" s="544">
        <v>150</v>
      </c>
      <c r="P9" s="569">
        <v>150</v>
      </c>
      <c r="Q9" s="159">
        <v>14344</v>
      </c>
      <c r="R9" s="160">
        <v>665</v>
      </c>
      <c r="S9"/>
      <c r="T9" s="162">
        <v>110000</v>
      </c>
      <c r="U9" s="163">
        <v>486000</v>
      </c>
      <c r="V9" s="163">
        <v>50000</v>
      </c>
      <c r="W9" s="432"/>
      <c r="X9" s="153">
        <v>14344</v>
      </c>
      <c r="Y9" s="165">
        <v>50</v>
      </c>
      <c r="Z9" s="48">
        <v>10</v>
      </c>
      <c r="AA9" s="48">
        <v>25</v>
      </c>
      <c r="AB9" s="50">
        <v>45</v>
      </c>
      <c r="AC9" s="166">
        <v>16200</v>
      </c>
      <c r="AD9" s="167">
        <v>3000</v>
      </c>
      <c r="AE9"/>
      <c r="AF9" s="46">
        <v>0</v>
      </c>
      <c r="AG9" s="41">
        <v>50</v>
      </c>
      <c r="AH9" s="48">
        <v>40</v>
      </c>
      <c r="AI9" s="47">
        <v>20</v>
      </c>
      <c r="AJ9" s="174">
        <f t="shared" si="0"/>
        <v>44888</v>
      </c>
      <c r="AK9" s="175" t="str">
        <f>IF($X9=$AC9,"=",IF(MAX($AC9,$X9)*0.1&gt;ABS($X9-$AC9),"~",IF(MAX($AC9,$X9)=$X9,"A","S")))</f>
        <v>S</v>
      </c>
      <c r="AL9" s="864">
        <v>5250</v>
      </c>
      <c r="AM9" s="168">
        <v>923.9</v>
      </c>
      <c r="AN9"/>
      <c r="AO9" s="169">
        <v>85</v>
      </c>
      <c r="AP9" s="180">
        <v>7</v>
      </c>
      <c r="AQ9" s="185">
        <v>85</v>
      </c>
      <c r="AR9" s="170">
        <v>0</v>
      </c>
      <c r="AS9" s="171">
        <v>37</v>
      </c>
      <c r="AT9" s="171">
        <v>0</v>
      </c>
      <c r="AU9" s="172">
        <v>0</v>
      </c>
      <c r="AV9" s="133">
        <v>460</v>
      </c>
      <c r="AW9" s="164">
        <v>120</v>
      </c>
      <c r="AX9" s="3"/>
      <c r="AY9" s="3"/>
      <c r="AZ9" s="3"/>
      <c r="BA9" s="3"/>
      <c r="BB9" s="596"/>
      <c r="BC9" s="596"/>
      <c r="BD9" s="553"/>
      <c r="BE9" s="596"/>
      <c r="BF9" s="596"/>
      <c r="BG9" s="596"/>
      <c r="BH9" s="596"/>
      <c r="BI9" s="596"/>
      <c r="BJ9" s="700" t="s">
        <v>1476</v>
      </c>
      <c r="BK9" s="310" t="s">
        <v>1671</v>
      </c>
      <c r="BL9" s="420" t="s">
        <v>688</v>
      </c>
      <c r="BM9" s="173" t="s">
        <v>583</v>
      </c>
      <c r="BN9" s="635"/>
      <c r="BO9" s="758" t="s">
        <v>463</v>
      </c>
      <c r="BP9" s="81"/>
      <c r="BQ9" s="82"/>
      <c r="BR9" s="79"/>
      <c r="BS9" s="758" t="s">
        <v>463</v>
      </c>
      <c r="BT9" s="81"/>
      <c r="BU9" s="82"/>
      <c r="BV9" s="79"/>
      <c r="BW9" s="758" t="s">
        <v>1267</v>
      </c>
      <c r="BX9" s="81"/>
      <c r="BY9" s="96"/>
      <c r="BZ9" s="833" t="s">
        <v>1133</v>
      </c>
      <c r="CA9" s="131">
        <v>26840</v>
      </c>
      <c r="CB9" s="608"/>
      <c r="CC9" s="613">
        <f>8*1.25</f>
        <v>10</v>
      </c>
      <c r="CD9" s="614">
        <v>5</v>
      </c>
      <c r="CE9" s="135" t="s">
        <v>1104</v>
      </c>
    </row>
    <row r="10" spans="1:84" ht="12.75">
      <c r="A10" s="115" t="s">
        <v>1243</v>
      </c>
      <c r="B10" s="117" t="s">
        <v>12</v>
      </c>
      <c r="C10" s="636" t="s">
        <v>865</v>
      </c>
      <c r="D10" s="60">
        <v>75</v>
      </c>
      <c r="E10" s="348" t="s">
        <v>571</v>
      </c>
      <c r="F10" s="15">
        <v>5</v>
      </c>
      <c r="G10" s="18">
        <v>6</v>
      </c>
      <c r="H10" s="17">
        <v>8</v>
      </c>
      <c r="I10" s="755">
        <v>7</v>
      </c>
      <c r="J10" s="187">
        <v>4</v>
      </c>
      <c r="K10" s="192">
        <v>3</v>
      </c>
      <c r="L10" s="876">
        <v>720</v>
      </c>
      <c r="M10" s="890">
        <v>9500</v>
      </c>
      <c r="N10" s="106">
        <v>350</v>
      </c>
      <c r="O10" s="454">
        <v>75</v>
      </c>
      <c r="P10" s="568">
        <v>75</v>
      </c>
      <c r="Q10" s="11">
        <v>9961</v>
      </c>
      <c r="R10" s="98">
        <v>665</v>
      </c>
      <c r="S10" s="99"/>
      <c r="T10" s="127">
        <v>110000</v>
      </c>
      <c r="U10" s="100">
        <v>486000</v>
      </c>
      <c r="V10" s="100">
        <v>50000</v>
      </c>
      <c r="W10" s="552"/>
      <c r="X10" s="147">
        <v>9961</v>
      </c>
      <c r="Y10" s="138">
        <v>50</v>
      </c>
      <c r="Z10" s="52">
        <v>10</v>
      </c>
      <c r="AA10" s="52">
        <v>25</v>
      </c>
      <c r="AB10" s="53">
        <v>45</v>
      </c>
      <c r="AC10" s="149">
        <v>11250</v>
      </c>
      <c r="AD10" s="141">
        <v>2500</v>
      </c>
      <c r="AF10" s="40">
        <v>0</v>
      </c>
      <c r="AG10" s="41">
        <v>50</v>
      </c>
      <c r="AH10" s="41">
        <v>40</v>
      </c>
      <c r="AI10" s="42">
        <v>20</v>
      </c>
      <c r="AJ10" s="5">
        <f t="shared" si="0"/>
        <v>31172</v>
      </c>
      <c r="AK10" s="103" t="str">
        <f t="shared" si="1"/>
        <v>S</v>
      </c>
      <c r="AL10" s="862">
        <v>5312</v>
      </c>
      <c r="AM10" s="101">
        <v>1154.88</v>
      </c>
      <c r="AO10" s="146">
        <v>75</v>
      </c>
      <c r="AP10" s="179" t="s">
        <v>462</v>
      </c>
      <c r="AQ10" s="125">
        <v>85</v>
      </c>
      <c r="AR10" s="70">
        <v>0</v>
      </c>
      <c r="AS10" s="71">
        <v>27</v>
      </c>
      <c r="AT10" s="71">
        <v>0</v>
      </c>
      <c r="AU10" s="72">
        <v>0</v>
      </c>
      <c r="AV10" s="7">
        <v>460</v>
      </c>
      <c r="AW10" s="144">
        <v>115</v>
      </c>
      <c r="AX10" s="56">
        <v>0</v>
      </c>
      <c r="AY10" s="34">
        <v>9</v>
      </c>
      <c r="AZ10" s="34">
        <v>0</v>
      </c>
      <c r="BA10" s="84">
        <v>0</v>
      </c>
      <c r="BB10" s="596"/>
      <c r="BC10" s="596"/>
      <c r="BD10" s="553"/>
      <c r="BE10" s="596"/>
      <c r="BF10" s="596"/>
      <c r="BG10" s="596"/>
      <c r="BH10" s="596"/>
      <c r="BI10" s="596"/>
      <c r="BJ10" s="700" t="s">
        <v>1476</v>
      </c>
      <c r="BK10" s="310" t="s">
        <v>1671</v>
      </c>
      <c r="BL10" s="420" t="s">
        <v>11</v>
      </c>
      <c r="BM10" s="32" t="s">
        <v>10</v>
      </c>
      <c r="BN10" s="640"/>
      <c r="BO10" s="642" t="s">
        <v>463</v>
      </c>
      <c r="BP10" s="78"/>
      <c r="BQ10" s="76"/>
      <c r="BR10" s="77"/>
      <c r="BS10" s="642" t="s">
        <v>463</v>
      </c>
      <c r="BT10" s="78"/>
      <c r="BU10" s="76"/>
      <c r="BV10" s="77"/>
      <c r="BW10" s="642" t="s">
        <v>467</v>
      </c>
      <c r="BX10" s="78"/>
      <c r="BY10" s="94"/>
      <c r="BZ10" s="793" t="s">
        <v>1133</v>
      </c>
      <c r="CA10" s="131" t="s">
        <v>1430</v>
      </c>
      <c r="CB10" s="608"/>
      <c r="CC10" s="613">
        <f>7*1.25</f>
        <v>8.75</v>
      </c>
      <c r="CD10" s="614">
        <v>3</v>
      </c>
      <c r="CE10" s="136" t="s">
        <v>466</v>
      </c>
      <c r="CF10" s="546">
        <v>108750000</v>
      </c>
    </row>
    <row r="11" spans="1:84" ht="12.75">
      <c r="A11" s="196" t="s">
        <v>1282</v>
      </c>
      <c r="B11" s="117" t="s">
        <v>145</v>
      </c>
      <c r="C11" s="315" t="s">
        <v>1042</v>
      </c>
      <c r="D11" s="60">
        <v>75</v>
      </c>
      <c r="E11" s="348" t="s">
        <v>571</v>
      </c>
      <c r="F11" s="15">
        <v>8</v>
      </c>
      <c r="G11" s="18">
        <v>5</v>
      </c>
      <c r="H11" s="17">
        <v>8</v>
      </c>
      <c r="I11" s="16">
        <v>2</v>
      </c>
      <c r="J11" s="737">
        <v>8</v>
      </c>
      <c r="K11" s="192">
        <v>3</v>
      </c>
      <c r="L11" s="876">
        <v>650</v>
      </c>
      <c r="M11" s="893">
        <v>21000</v>
      </c>
      <c r="N11" s="106">
        <v>350</v>
      </c>
      <c r="O11" s="454">
        <v>250</v>
      </c>
      <c r="P11" s="568">
        <v>250</v>
      </c>
      <c r="Q11" s="11">
        <v>12500</v>
      </c>
      <c r="R11" s="98">
        <v>675</v>
      </c>
      <c r="S11" s="99"/>
      <c r="T11" s="127">
        <v>102500</v>
      </c>
      <c r="U11" s="100">
        <v>513000</v>
      </c>
      <c r="V11" s="100">
        <v>50000</v>
      </c>
      <c r="W11" s="552"/>
      <c r="X11" s="147">
        <v>10548</v>
      </c>
      <c r="Y11" s="138">
        <v>50</v>
      </c>
      <c r="Z11" s="52">
        <v>10</v>
      </c>
      <c r="AA11" s="52">
        <v>25</v>
      </c>
      <c r="AB11" s="53">
        <v>45</v>
      </c>
      <c r="AC11" s="149">
        <v>7500</v>
      </c>
      <c r="AD11" s="141">
        <v>2500</v>
      </c>
      <c r="AF11" s="40">
        <v>0</v>
      </c>
      <c r="AG11" s="41">
        <v>50</v>
      </c>
      <c r="AH11" s="41">
        <v>40</v>
      </c>
      <c r="AI11" s="42">
        <v>20</v>
      </c>
      <c r="AJ11" s="5">
        <f t="shared" si="0"/>
        <v>30548</v>
      </c>
      <c r="AK11" s="103" t="str">
        <f t="shared" si="1"/>
        <v>A</v>
      </c>
      <c r="AL11" s="862">
        <v>7030</v>
      </c>
      <c r="AM11" s="101">
        <v>1200</v>
      </c>
      <c r="AO11" s="146">
        <v>82</v>
      </c>
      <c r="AP11" s="179" t="s">
        <v>462</v>
      </c>
      <c r="AQ11" s="125">
        <v>95</v>
      </c>
      <c r="AR11" s="70">
        <v>0</v>
      </c>
      <c r="AS11" s="71">
        <v>0</v>
      </c>
      <c r="AT11" s="71">
        <v>36</v>
      </c>
      <c r="AU11" s="72">
        <v>0</v>
      </c>
      <c r="AV11" s="7">
        <v>400</v>
      </c>
      <c r="AW11" s="144">
        <v>135</v>
      </c>
      <c r="AX11" s="56">
        <v>0</v>
      </c>
      <c r="AY11" s="34">
        <v>0</v>
      </c>
      <c r="AZ11" s="34">
        <v>12</v>
      </c>
      <c r="BA11" s="84">
        <v>0</v>
      </c>
      <c r="BB11" s="596"/>
      <c r="BC11" s="596"/>
      <c r="BD11" s="553"/>
      <c r="BE11" s="596"/>
      <c r="BF11" s="596"/>
      <c r="BG11" s="596"/>
      <c r="BH11" s="596"/>
      <c r="BI11" s="596"/>
      <c r="BJ11" s="700" t="s">
        <v>1476</v>
      </c>
      <c r="BK11" s="310" t="s">
        <v>136</v>
      </c>
      <c r="BL11" s="420" t="s">
        <v>619</v>
      </c>
      <c r="BM11" s="32" t="s">
        <v>194</v>
      </c>
      <c r="BN11" s="640"/>
      <c r="BO11" s="641"/>
      <c r="BP11" s="760" t="s">
        <v>463</v>
      </c>
      <c r="BQ11" s="76"/>
      <c r="BR11" s="77"/>
      <c r="BS11" s="641"/>
      <c r="BT11" s="760" t="s">
        <v>463</v>
      </c>
      <c r="BU11" s="76"/>
      <c r="BV11" s="77"/>
      <c r="BW11" s="641"/>
      <c r="BX11" s="760" t="s">
        <v>467</v>
      </c>
      <c r="BY11" s="94"/>
      <c r="BZ11" s="833" t="s">
        <v>1135</v>
      </c>
      <c r="CA11" s="131">
        <v>13202</v>
      </c>
      <c r="CB11" s="608"/>
      <c r="CC11" s="613">
        <f>8*1.25</f>
        <v>10</v>
      </c>
      <c r="CD11" s="614">
        <v>5</v>
      </c>
      <c r="CE11" s="135" t="s">
        <v>232</v>
      </c>
      <c r="CF11" s="546">
        <v>108750000</v>
      </c>
    </row>
    <row r="12" spans="1:84" ht="12.75">
      <c r="A12" s="115" t="s">
        <v>1155</v>
      </c>
      <c r="B12" s="117" t="s">
        <v>145</v>
      </c>
      <c r="C12" s="315" t="s">
        <v>1042</v>
      </c>
      <c r="D12" s="60">
        <v>75</v>
      </c>
      <c r="E12" s="348" t="s">
        <v>571</v>
      </c>
      <c r="F12" s="15">
        <v>8</v>
      </c>
      <c r="G12" s="18">
        <v>4</v>
      </c>
      <c r="H12" s="17">
        <v>8</v>
      </c>
      <c r="I12" s="16">
        <v>2</v>
      </c>
      <c r="J12" s="186">
        <v>7</v>
      </c>
      <c r="K12" s="192">
        <v>3</v>
      </c>
      <c r="L12" s="876">
        <v>550</v>
      </c>
      <c r="M12" s="893">
        <v>15500</v>
      </c>
      <c r="N12" s="106">
        <v>350</v>
      </c>
      <c r="O12" s="454">
        <v>125</v>
      </c>
      <c r="P12" s="568">
        <v>125</v>
      </c>
      <c r="Q12" s="11">
        <v>11250</v>
      </c>
      <c r="R12" s="98">
        <v>675</v>
      </c>
      <c r="S12" s="99"/>
      <c r="T12" s="127">
        <v>110000</v>
      </c>
      <c r="U12" s="100">
        <v>486000</v>
      </c>
      <c r="V12" s="100">
        <v>50000</v>
      </c>
      <c r="W12" s="552"/>
      <c r="X12" s="147">
        <v>9961</v>
      </c>
      <c r="Y12" s="138">
        <v>50</v>
      </c>
      <c r="Z12" s="52">
        <v>10</v>
      </c>
      <c r="AA12" s="52">
        <v>35</v>
      </c>
      <c r="AB12" s="53">
        <v>35</v>
      </c>
      <c r="AC12" s="149">
        <v>9316</v>
      </c>
      <c r="AD12" s="141">
        <v>2000</v>
      </c>
      <c r="AF12" s="40">
        <v>0</v>
      </c>
      <c r="AG12" s="41">
        <v>50</v>
      </c>
      <c r="AH12" s="41">
        <v>40</v>
      </c>
      <c r="AI12" s="42">
        <v>20</v>
      </c>
      <c r="AJ12" s="5">
        <f t="shared" si="0"/>
        <v>30527</v>
      </c>
      <c r="AK12" s="103" t="str">
        <f t="shared" si="1"/>
        <v>~</v>
      </c>
      <c r="AL12" s="862">
        <v>5625</v>
      </c>
      <c r="AM12" s="101">
        <v>1154.88</v>
      </c>
      <c r="AO12" s="146">
        <v>72</v>
      </c>
      <c r="AP12" s="179" t="s">
        <v>462</v>
      </c>
      <c r="AQ12" s="125">
        <v>95</v>
      </c>
      <c r="AR12" s="70">
        <v>0</v>
      </c>
      <c r="AS12" s="71">
        <v>0</v>
      </c>
      <c r="AT12" s="71">
        <v>25</v>
      </c>
      <c r="AU12" s="72">
        <v>0</v>
      </c>
      <c r="AV12" s="7">
        <v>400</v>
      </c>
      <c r="AW12" s="144">
        <v>125</v>
      </c>
      <c r="AX12" s="56">
        <v>0</v>
      </c>
      <c r="AY12" s="34">
        <v>0</v>
      </c>
      <c r="AZ12" s="34">
        <v>10</v>
      </c>
      <c r="BA12" s="84">
        <v>0</v>
      </c>
      <c r="BB12" s="596"/>
      <c r="BC12" s="596"/>
      <c r="BD12" s="553"/>
      <c r="BE12" s="596"/>
      <c r="BF12" s="596"/>
      <c r="BG12" s="596"/>
      <c r="BH12" s="596"/>
      <c r="BI12" s="596"/>
      <c r="BJ12" s="700" t="s">
        <v>1476</v>
      </c>
      <c r="BK12" s="310" t="s">
        <v>136</v>
      </c>
      <c r="BL12" s="420" t="s">
        <v>619</v>
      </c>
      <c r="BM12" s="32" t="s">
        <v>592</v>
      </c>
      <c r="BN12" s="640"/>
      <c r="BO12" s="641"/>
      <c r="BP12" s="78" t="s">
        <v>463</v>
      </c>
      <c r="BQ12" s="76"/>
      <c r="BR12" s="77"/>
      <c r="BS12" s="641"/>
      <c r="BT12" s="78" t="s">
        <v>463</v>
      </c>
      <c r="BU12" s="76"/>
      <c r="BV12" s="77"/>
      <c r="BW12" s="641"/>
      <c r="BX12" s="78" t="s">
        <v>467</v>
      </c>
      <c r="BY12" s="94"/>
      <c r="BZ12" s="833" t="s">
        <v>1135</v>
      </c>
      <c r="CA12" s="131" t="s">
        <v>1429</v>
      </c>
      <c r="CB12" s="608"/>
      <c r="CC12" s="613">
        <f>7*1.25</f>
        <v>8.75</v>
      </c>
      <c r="CD12" s="614">
        <v>5</v>
      </c>
      <c r="CE12" s="136" t="s">
        <v>1269</v>
      </c>
      <c r="CF12" s="546">
        <v>108750000</v>
      </c>
    </row>
    <row r="13" spans="1:84" ht="12.75">
      <c r="A13" s="115" t="s">
        <v>1242</v>
      </c>
      <c r="B13" s="117" t="s">
        <v>1235</v>
      </c>
      <c r="C13" s="797" t="s">
        <v>992</v>
      </c>
      <c r="D13" s="60">
        <v>75</v>
      </c>
      <c r="E13" s="348" t="s">
        <v>571</v>
      </c>
      <c r="F13" s="15">
        <v>6</v>
      </c>
      <c r="G13" s="18">
        <v>6</v>
      </c>
      <c r="H13" s="17">
        <v>8</v>
      </c>
      <c r="I13" s="740">
        <v>6</v>
      </c>
      <c r="J13" s="186">
        <v>4</v>
      </c>
      <c r="K13" s="192">
        <v>3</v>
      </c>
      <c r="L13" s="876">
        <v>700</v>
      </c>
      <c r="M13" s="890">
        <v>9500</v>
      </c>
      <c r="N13" s="106">
        <v>350</v>
      </c>
      <c r="O13" s="454">
        <v>75</v>
      </c>
      <c r="P13" s="568">
        <v>75</v>
      </c>
      <c r="Q13" s="11">
        <v>9298</v>
      </c>
      <c r="R13" s="98">
        <v>665</v>
      </c>
      <c r="S13" s="99"/>
      <c r="T13" s="127">
        <v>110000</v>
      </c>
      <c r="U13" s="100">
        <v>486000</v>
      </c>
      <c r="V13" s="100">
        <v>50000</v>
      </c>
      <c r="W13" s="552"/>
      <c r="X13" s="147">
        <v>9298</v>
      </c>
      <c r="Y13" s="138">
        <v>50</v>
      </c>
      <c r="Z13" s="52">
        <v>10</v>
      </c>
      <c r="AA13" s="52">
        <v>25</v>
      </c>
      <c r="AB13" s="53">
        <v>45</v>
      </c>
      <c r="AC13" s="149">
        <v>12750</v>
      </c>
      <c r="AD13" s="141">
        <v>2500</v>
      </c>
      <c r="AF13" s="40">
        <v>0</v>
      </c>
      <c r="AG13" s="41">
        <v>50</v>
      </c>
      <c r="AH13" s="41">
        <v>40</v>
      </c>
      <c r="AI13" s="42">
        <v>20</v>
      </c>
      <c r="AJ13" s="5">
        <f t="shared" si="0"/>
        <v>31346</v>
      </c>
      <c r="AK13" s="103" t="str">
        <f t="shared" si="1"/>
        <v>S</v>
      </c>
      <c r="AL13" s="862">
        <v>5312</v>
      </c>
      <c r="AM13" s="101">
        <v>1154.88</v>
      </c>
      <c r="AO13" s="146">
        <v>75</v>
      </c>
      <c r="AP13" s="179" t="s">
        <v>462</v>
      </c>
      <c r="AQ13" s="125">
        <v>85</v>
      </c>
      <c r="AR13" s="70">
        <v>0</v>
      </c>
      <c r="AS13" s="71">
        <v>25</v>
      </c>
      <c r="AT13" s="71">
        <v>0</v>
      </c>
      <c r="AU13" s="72">
        <v>0</v>
      </c>
      <c r="AV13" s="7">
        <v>460</v>
      </c>
      <c r="AW13" s="144">
        <v>115</v>
      </c>
      <c r="AX13" s="56">
        <v>0</v>
      </c>
      <c r="AY13" s="34">
        <v>9</v>
      </c>
      <c r="AZ13" s="34">
        <v>0</v>
      </c>
      <c r="BA13" s="84">
        <v>0</v>
      </c>
      <c r="BB13" s="596"/>
      <c r="BC13" s="596"/>
      <c r="BD13" s="553"/>
      <c r="BE13" s="596"/>
      <c r="BF13" s="596"/>
      <c r="BG13" s="596"/>
      <c r="BH13" s="596"/>
      <c r="BI13" s="596"/>
      <c r="BJ13" s="700" t="s">
        <v>1476</v>
      </c>
      <c r="BK13" s="310" t="s">
        <v>1671</v>
      </c>
      <c r="BL13" s="420" t="s">
        <v>923</v>
      </c>
      <c r="BM13" s="32" t="s">
        <v>692</v>
      </c>
      <c r="BN13" s="640"/>
      <c r="BO13" s="758" t="s">
        <v>463</v>
      </c>
      <c r="BP13" s="81" t="s">
        <v>463</v>
      </c>
      <c r="BQ13" s="76"/>
      <c r="BR13" s="77"/>
      <c r="BS13" s="758" t="s">
        <v>463</v>
      </c>
      <c r="BT13" s="81" t="s">
        <v>463</v>
      </c>
      <c r="BU13" s="76"/>
      <c r="BV13" s="77"/>
      <c r="BW13" s="758" t="s">
        <v>464</v>
      </c>
      <c r="BX13" s="81" t="s">
        <v>464</v>
      </c>
      <c r="BY13" s="94"/>
      <c r="BZ13" s="833" t="s">
        <v>703</v>
      </c>
      <c r="CA13" s="131" t="s">
        <v>1428</v>
      </c>
      <c r="CB13" s="608"/>
      <c r="CC13" s="613">
        <f>6*1.25</f>
        <v>7.5</v>
      </c>
      <c r="CD13" s="614">
        <v>3</v>
      </c>
      <c r="CE13" s="135" t="s">
        <v>1044</v>
      </c>
      <c r="CF13" s="546">
        <v>108750000</v>
      </c>
    </row>
    <row r="14" spans="1:83" s="54" customFormat="1" ht="12.75">
      <c r="A14" s="176" t="s">
        <v>680</v>
      </c>
      <c r="B14" s="176" t="s">
        <v>1424</v>
      </c>
      <c r="C14" s="319" t="s">
        <v>99</v>
      </c>
      <c r="D14" s="123"/>
      <c r="E14" s="348" t="s">
        <v>571</v>
      </c>
      <c r="F14" s="181">
        <v>7</v>
      </c>
      <c r="G14" s="182">
        <v>6</v>
      </c>
      <c r="H14" s="183">
        <v>8</v>
      </c>
      <c r="I14" s="184">
        <v>2</v>
      </c>
      <c r="J14" s="191">
        <v>8</v>
      </c>
      <c r="K14" s="194">
        <v>3</v>
      </c>
      <c r="L14" s="877">
        <v>650</v>
      </c>
      <c r="M14" s="892">
        <v>21500</v>
      </c>
      <c r="N14" s="195">
        <v>200</v>
      </c>
      <c r="O14" s="544">
        <v>150</v>
      </c>
      <c r="P14" s="569">
        <v>150</v>
      </c>
      <c r="Q14" s="159">
        <v>14344</v>
      </c>
      <c r="R14" s="160">
        <v>600</v>
      </c>
      <c r="S14"/>
      <c r="T14" s="162">
        <v>102500</v>
      </c>
      <c r="U14" s="163">
        <v>486000</v>
      </c>
      <c r="V14" s="163">
        <v>50000</v>
      </c>
      <c r="W14" s="432"/>
      <c r="X14" s="153">
        <v>13416</v>
      </c>
      <c r="Y14" s="165">
        <v>60</v>
      </c>
      <c r="Z14" s="48">
        <v>10</v>
      </c>
      <c r="AA14" s="48">
        <v>25</v>
      </c>
      <c r="AB14" s="50">
        <v>35</v>
      </c>
      <c r="AC14" s="166">
        <v>15020</v>
      </c>
      <c r="AD14" s="167">
        <v>3000</v>
      </c>
      <c r="AE14"/>
      <c r="AF14" s="46">
        <v>0</v>
      </c>
      <c r="AG14" s="41">
        <v>50</v>
      </c>
      <c r="AH14" s="48">
        <v>40</v>
      </c>
      <c r="AI14" s="47">
        <v>20</v>
      </c>
      <c r="AJ14" s="174">
        <f t="shared" si="0"/>
        <v>42780</v>
      </c>
      <c r="AK14" s="175" t="str">
        <f>IF($X14=$AC14,"=",IF(MAX($AC14,$X14)*0.1&gt;ABS($X14-$AC14),"~",IF(MAX($AC14,$X14)=$X14,"A","S")))</f>
        <v>S</v>
      </c>
      <c r="AL14" s="864">
        <v>5250</v>
      </c>
      <c r="AM14" s="168">
        <v>923.9</v>
      </c>
      <c r="AN14"/>
      <c r="AO14" s="169">
        <v>72</v>
      </c>
      <c r="AP14" s="180">
        <v>7</v>
      </c>
      <c r="AQ14" s="185">
        <v>100</v>
      </c>
      <c r="AR14" s="170">
        <v>0</v>
      </c>
      <c r="AS14" s="171">
        <v>0</v>
      </c>
      <c r="AT14" s="171">
        <v>0</v>
      </c>
      <c r="AU14" s="172">
        <v>31</v>
      </c>
      <c r="AV14" s="133">
        <v>340</v>
      </c>
      <c r="AW14" s="164">
        <v>170</v>
      </c>
      <c r="AX14" s="3"/>
      <c r="AY14" s="3"/>
      <c r="AZ14" s="3"/>
      <c r="BA14" s="3"/>
      <c r="BB14" s="596"/>
      <c r="BC14" s="596"/>
      <c r="BD14" s="553"/>
      <c r="BE14" s="596"/>
      <c r="BF14" s="596"/>
      <c r="BG14" s="596"/>
      <c r="BH14" s="596"/>
      <c r="BI14" s="596"/>
      <c r="BJ14" s="700" t="s">
        <v>1476</v>
      </c>
      <c r="BK14" s="310" t="s">
        <v>136</v>
      </c>
      <c r="BL14" s="420" t="s">
        <v>726</v>
      </c>
      <c r="BM14" s="173" t="s">
        <v>1245</v>
      </c>
      <c r="BN14" s="640"/>
      <c r="BO14" s="641"/>
      <c r="BP14" s="78"/>
      <c r="BQ14" s="759" t="s">
        <v>463</v>
      </c>
      <c r="BR14" s="77"/>
      <c r="BS14" s="641"/>
      <c r="BT14" s="78"/>
      <c r="BU14" s="759" t="s">
        <v>463</v>
      </c>
      <c r="BV14" s="77"/>
      <c r="BW14" s="641"/>
      <c r="BX14" s="78"/>
      <c r="BY14" s="769" t="s">
        <v>1267</v>
      </c>
      <c r="BZ14" s="833" t="s">
        <v>1132</v>
      </c>
      <c r="CA14" s="131">
        <v>26842</v>
      </c>
      <c r="CB14" s="608"/>
      <c r="CC14" s="613">
        <f>8*1.5</f>
        <v>12</v>
      </c>
      <c r="CD14" s="614">
        <v>5</v>
      </c>
      <c r="CE14" s="136" t="s">
        <v>1268</v>
      </c>
    </row>
    <row r="15" spans="1:84" ht="12.75">
      <c r="A15" s="115" t="s">
        <v>43</v>
      </c>
      <c r="B15" s="117" t="s">
        <v>1424</v>
      </c>
      <c r="C15" s="319" t="s">
        <v>99</v>
      </c>
      <c r="D15" s="60">
        <v>75</v>
      </c>
      <c r="E15" s="348" t="s">
        <v>571</v>
      </c>
      <c r="F15" s="15">
        <v>6</v>
      </c>
      <c r="G15" s="18">
        <v>6</v>
      </c>
      <c r="H15" s="17">
        <v>8</v>
      </c>
      <c r="I15" s="16">
        <v>4</v>
      </c>
      <c r="J15" s="186">
        <v>6</v>
      </c>
      <c r="K15" s="192">
        <v>3</v>
      </c>
      <c r="L15" s="876">
        <v>550</v>
      </c>
      <c r="M15" s="893">
        <v>15500</v>
      </c>
      <c r="N15" s="106">
        <v>350</v>
      </c>
      <c r="O15" s="454">
        <v>75</v>
      </c>
      <c r="P15" s="568">
        <v>75</v>
      </c>
      <c r="Q15" s="11">
        <v>9961</v>
      </c>
      <c r="R15" s="98">
        <v>600</v>
      </c>
      <c r="S15" s="99"/>
      <c r="T15" s="127">
        <v>102500</v>
      </c>
      <c r="U15" s="100">
        <v>486000</v>
      </c>
      <c r="V15" s="100">
        <v>50000</v>
      </c>
      <c r="W15" s="552"/>
      <c r="X15" s="147">
        <v>9316</v>
      </c>
      <c r="Y15" s="138">
        <v>60</v>
      </c>
      <c r="Z15" s="52">
        <v>10</v>
      </c>
      <c r="AA15" s="52">
        <v>25</v>
      </c>
      <c r="AB15" s="53">
        <v>35</v>
      </c>
      <c r="AC15" s="149">
        <v>10430</v>
      </c>
      <c r="AD15" s="141">
        <v>2500</v>
      </c>
      <c r="AF15" s="40">
        <v>0</v>
      </c>
      <c r="AG15" s="41">
        <v>50</v>
      </c>
      <c r="AH15" s="41">
        <v>40</v>
      </c>
      <c r="AI15" s="42">
        <v>20</v>
      </c>
      <c r="AJ15" s="5">
        <f t="shared" si="0"/>
        <v>29707</v>
      </c>
      <c r="AK15" s="103" t="str">
        <f t="shared" si="1"/>
        <v>S</v>
      </c>
      <c r="AL15" s="862">
        <v>5312</v>
      </c>
      <c r="AM15" s="101">
        <v>1154.88</v>
      </c>
      <c r="AO15" s="146">
        <v>62</v>
      </c>
      <c r="AP15" s="179" t="s">
        <v>462</v>
      </c>
      <c r="AQ15" s="125">
        <v>100</v>
      </c>
      <c r="AR15" s="70"/>
      <c r="AS15" s="71">
        <v>0</v>
      </c>
      <c r="AT15" s="71">
        <v>0</v>
      </c>
      <c r="AU15" s="72">
        <v>21</v>
      </c>
      <c r="AV15" s="7">
        <v>340</v>
      </c>
      <c r="AW15" s="144">
        <v>140</v>
      </c>
      <c r="AX15" s="56">
        <v>0</v>
      </c>
      <c r="AY15" s="34">
        <v>0</v>
      </c>
      <c r="AZ15" s="34">
        <v>0</v>
      </c>
      <c r="BA15" s="84">
        <v>12</v>
      </c>
      <c r="BB15" s="596"/>
      <c r="BC15" s="596"/>
      <c r="BD15" s="553"/>
      <c r="BE15" s="596"/>
      <c r="BF15" s="596"/>
      <c r="BG15" s="596"/>
      <c r="BH15" s="596"/>
      <c r="BI15" s="596"/>
      <c r="BJ15" s="700" t="s">
        <v>1476</v>
      </c>
      <c r="BK15" s="310" t="s">
        <v>136</v>
      </c>
      <c r="BL15" s="420" t="s">
        <v>726</v>
      </c>
      <c r="BM15" s="32" t="s">
        <v>150</v>
      </c>
      <c r="BN15" s="640"/>
      <c r="BO15" s="641"/>
      <c r="BP15" s="78"/>
      <c r="BQ15" s="82" t="s">
        <v>463</v>
      </c>
      <c r="BR15" s="77"/>
      <c r="BS15" s="641"/>
      <c r="BT15" s="78"/>
      <c r="BU15" s="82" t="s">
        <v>463</v>
      </c>
      <c r="BV15" s="77"/>
      <c r="BW15" s="641"/>
      <c r="BX15" s="78"/>
      <c r="BY15" s="96" t="s">
        <v>467</v>
      </c>
      <c r="BZ15" s="833" t="s">
        <v>1132</v>
      </c>
      <c r="CA15" s="131" t="s">
        <v>1427</v>
      </c>
      <c r="CB15" s="608"/>
      <c r="CC15" s="613">
        <f>6*1.5</f>
        <v>9</v>
      </c>
      <c r="CD15" s="614">
        <v>3</v>
      </c>
      <c r="CE15" s="135" t="s">
        <v>1039</v>
      </c>
      <c r="CF15" s="546">
        <v>108750000</v>
      </c>
    </row>
    <row r="16" spans="1:84" ht="12.75">
      <c r="A16" s="115" t="s">
        <v>555</v>
      </c>
      <c r="B16" s="69" t="s">
        <v>555</v>
      </c>
      <c r="C16" s="798" t="s">
        <v>993</v>
      </c>
      <c r="D16" s="60">
        <v>75</v>
      </c>
      <c r="E16" s="348" t="s">
        <v>571</v>
      </c>
      <c r="F16" s="15">
        <v>5</v>
      </c>
      <c r="G16" s="18">
        <v>7</v>
      </c>
      <c r="H16" s="17">
        <v>6</v>
      </c>
      <c r="I16" s="323">
        <v>0</v>
      </c>
      <c r="J16" s="186">
        <v>4</v>
      </c>
      <c r="K16" s="192">
        <v>3</v>
      </c>
      <c r="L16" s="876">
        <v>710</v>
      </c>
      <c r="M16" s="893">
        <v>14500</v>
      </c>
      <c r="N16" s="106">
        <v>350</v>
      </c>
      <c r="O16" s="454">
        <v>75</v>
      </c>
      <c r="P16" s="568">
        <v>75</v>
      </c>
      <c r="Q16" s="11">
        <v>8260</v>
      </c>
      <c r="R16" s="98">
        <v>665</v>
      </c>
      <c r="S16" s="99"/>
      <c r="T16" s="127">
        <v>110000</v>
      </c>
      <c r="U16" s="100">
        <v>486000</v>
      </c>
      <c r="V16" s="100">
        <v>50000</v>
      </c>
      <c r="W16" s="552">
        <v>0.155</v>
      </c>
      <c r="X16" s="147">
        <v>8695</v>
      </c>
      <c r="Y16" s="138">
        <v>50</v>
      </c>
      <c r="Z16" s="52">
        <v>20</v>
      </c>
      <c r="AA16" s="52">
        <v>25</v>
      </c>
      <c r="AB16" s="53">
        <v>35</v>
      </c>
      <c r="AC16" s="149">
        <v>9298</v>
      </c>
      <c r="AD16" s="141">
        <v>2673</v>
      </c>
      <c r="AF16" s="40">
        <v>0</v>
      </c>
      <c r="AG16" s="41">
        <v>50</v>
      </c>
      <c r="AH16" s="41">
        <v>40</v>
      </c>
      <c r="AI16" s="42">
        <v>20</v>
      </c>
      <c r="AJ16" s="5">
        <f t="shared" si="0"/>
        <v>26253</v>
      </c>
      <c r="AK16" s="103" t="str">
        <f t="shared" si="1"/>
        <v>~</v>
      </c>
      <c r="AL16" s="862">
        <v>5937</v>
      </c>
      <c r="AM16" s="101">
        <v>1154.88</v>
      </c>
      <c r="AO16" s="146">
        <v>75</v>
      </c>
      <c r="AP16" s="179" t="s">
        <v>462</v>
      </c>
      <c r="AQ16" s="125">
        <v>85</v>
      </c>
      <c r="AR16" s="70">
        <v>23</v>
      </c>
      <c r="AS16" s="71">
        <v>0</v>
      </c>
      <c r="AT16" s="71">
        <v>0</v>
      </c>
      <c r="AU16" s="72">
        <v>0</v>
      </c>
      <c r="AV16" s="7">
        <v>460</v>
      </c>
      <c r="AW16" s="144">
        <v>115</v>
      </c>
      <c r="AX16" s="56">
        <v>9</v>
      </c>
      <c r="AY16" s="34">
        <v>0</v>
      </c>
      <c r="AZ16" s="34">
        <v>0</v>
      </c>
      <c r="BA16" s="84">
        <v>0</v>
      </c>
      <c r="BB16" s="596">
        <v>3</v>
      </c>
      <c r="BC16" s="596"/>
      <c r="BD16" s="553"/>
      <c r="BE16" s="596"/>
      <c r="BF16" s="596"/>
      <c r="BG16" s="596"/>
      <c r="BH16" s="596"/>
      <c r="BI16" s="596"/>
      <c r="BJ16" s="700" t="s">
        <v>1476</v>
      </c>
      <c r="BK16" s="310" t="s">
        <v>136</v>
      </c>
      <c r="BL16" s="420" t="s">
        <v>1034</v>
      </c>
      <c r="BM16" s="32" t="s">
        <v>1033</v>
      </c>
      <c r="BN16" s="757" t="s">
        <v>463</v>
      </c>
      <c r="BO16" s="758" t="s">
        <v>463</v>
      </c>
      <c r="BP16" s="78"/>
      <c r="BQ16" s="76"/>
      <c r="BR16" s="764" t="s">
        <v>463</v>
      </c>
      <c r="BS16" s="758" t="s">
        <v>463</v>
      </c>
      <c r="BT16" s="78"/>
      <c r="BU16" s="76"/>
      <c r="BV16" s="764" t="s">
        <v>464</v>
      </c>
      <c r="BW16" s="758" t="s">
        <v>464</v>
      </c>
      <c r="BX16" s="78"/>
      <c r="BY16" s="94"/>
      <c r="BZ16" s="793" t="s">
        <v>92</v>
      </c>
      <c r="CA16" s="131" t="s">
        <v>1426</v>
      </c>
      <c r="CB16" s="608"/>
      <c r="CC16" s="613">
        <v>10</v>
      </c>
      <c r="CD16" s="614">
        <v>3</v>
      </c>
      <c r="CE16" s="136" t="s">
        <v>1045</v>
      </c>
      <c r="CF16" s="546">
        <v>108750000</v>
      </c>
    </row>
    <row r="17" spans="1:84" ht="12.75">
      <c r="A17" s="115" t="s">
        <v>44</v>
      </c>
      <c r="B17" s="117" t="s">
        <v>145</v>
      </c>
      <c r="C17" s="795" t="s">
        <v>930</v>
      </c>
      <c r="D17" s="60">
        <v>75</v>
      </c>
      <c r="E17" s="348" t="s">
        <v>571</v>
      </c>
      <c r="F17" s="15">
        <v>7</v>
      </c>
      <c r="G17" s="18">
        <v>5</v>
      </c>
      <c r="H17" s="17">
        <v>8</v>
      </c>
      <c r="I17" s="16">
        <v>2</v>
      </c>
      <c r="J17" s="186">
        <v>7</v>
      </c>
      <c r="K17" s="192">
        <v>3</v>
      </c>
      <c r="L17" s="876">
        <v>550</v>
      </c>
      <c r="M17" s="893">
        <v>15500</v>
      </c>
      <c r="N17" s="106">
        <v>350</v>
      </c>
      <c r="O17" s="454">
        <v>125</v>
      </c>
      <c r="P17" s="568">
        <v>125</v>
      </c>
      <c r="Q17" s="11">
        <v>10500</v>
      </c>
      <c r="R17" s="98">
        <v>665</v>
      </c>
      <c r="S17" s="99"/>
      <c r="T17" s="127">
        <v>110000</v>
      </c>
      <c r="U17" s="100">
        <v>486000</v>
      </c>
      <c r="V17" s="100">
        <v>50000</v>
      </c>
      <c r="W17" s="552">
        <v>0.105</v>
      </c>
      <c r="X17" s="147">
        <v>9298</v>
      </c>
      <c r="Y17" s="138">
        <v>50</v>
      </c>
      <c r="Z17" s="52">
        <v>10</v>
      </c>
      <c r="AA17" s="52">
        <v>35</v>
      </c>
      <c r="AB17" s="53">
        <v>35</v>
      </c>
      <c r="AC17" s="149">
        <v>8695</v>
      </c>
      <c r="AD17" s="141">
        <v>2500</v>
      </c>
      <c r="AF17" s="40">
        <v>0</v>
      </c>
      <c r="AG17" s="41">
        <v>50</v>
      </c>
      <c r="AH17" s="41">
        <v>40</v>
      </c>
      <c r="AI17" s="42">
        <v>20</v>
      </c>
      <c r="AJ17" s="5">
        <f t="shared" si="0"/>
        <v>28493</v>
      </c>
      <c r="AK17" s="103" t="str">
        <f t="shared" si="1"/>
        <v>~</v>
      </c>
      <c r="AL17" s="908">
        <v>6330</v>
      </c>
      <c r="AM17" s="101">
        <v>1154.88</v>
      </c>
      <c r="AO17" s="146">
        <v>72</v>
      </c>
      <c r="AP17" s="179" t="s">
        <v>462</v>
      </c>
      <c r="AQ17" s="125">
        <v>95</v>
      </c>
      <c r="AR17" s="70">
        <v>0</v>
      </c>
      <c r="AS17" s="71">
        <v>0</v>
      </c>
      <c r="AT17" s="71">
        <v>23</v>
      </c>
      <c r="AU17" s="72">
        <v>0</v>
      </c>
      <c r="AV17" s="7">
        <v>400</v>
      </c>
      <c r="AW17" s="144">
        <v>125</v>
      </c>
      <c r="AX17" s="56">
        <v>0</v>
      </c>
      <c r="AY17" s="34">
        <v>0</v>
      </c>
      <c r="AZ17" s="34">
        <v>10</v>
      </c>
      <c r="BA17" s="84">
        <v>0</v>
      </c>
      <c r="BB17" s="596">
        <v>3</v>
      </c>
      <c r="BC17" s="596"/>
      <c r="BD17" s="553"/>
      <c r="BE17" s="596"/>
      <c r="BF17" s="596"/>
      <c r="BG17" s="596"/>
      <c r="BH17" s="596"/>
      <c r="BI17" s="596"/>
      <c r="BJ17" s="700" t="s">
        <v>1476</v>
      </c>
      <c r="BK17" s="310" t="s">
        <v>136</v>
      </c>
      <c r="BL17" s="420" t="s">
        <v>1363</v>
      </c>
      <c r="BM17" s="32" t="s">
        <v>747</v>
      </c>
      <c r="BN17" s="640"/>
      <c r="BO17" s="641"/>
      <c r="BP17" s="763" t="s">
        <v>463</v>
      </c>
      <c r="BQ17" s="759" t="s">
        <v>463</v>
      </c>
      <c r="BR17" s="77"/>
      <c r="BS17" s="641"/>
      <c r="BT17" s="763" t="s">
        <v>463</v>
      </c>
      <c r="BU17" s="759" t="s">
        <v>463</v>
      </c>
      <c r="BV17" s="77"/>
      <c r="BW17" s="641"/>
      <c r="BX17" s="763" t="s">
        <v>464</v>
      </c>
      <c r="BY17" s="769" t="s">
        <v>464</v>
      </c>
      <c r="BZ17" s="833" t="s">
        <v>1135</v>
      </c>
      <c r="CA17" s="131" t="s">
        <v>1425</v>
      </c>
      <c r="CB17" s="608"/>
      <c r="CC17" s="613">
        <f>7*1.25</f>
        <v>8.75</v>
      </c>
      <c r="CD17" s="614">
        <v>5</v>
      </c>
      <c r="CE17" s="135" t="s">
        <v>326</v>
      </c>
      <c r="CF17" s="546">
        <v>108750000</v>
      </c>
    </row>
    <row r="18" spans="1:84" ht="12.75">
      <c r="A18" s="115" t="s">
        <v>491</v>
      </c>
      <c r="B18" s="117" t="s">
        <v>1294</v>
      </c>
      <c r="C18" s="308" t="s">
        <v>827</v>
      </c>
      <c r="D18" s="61">
        <v>50</v>
      </c>
      <c r="E18" s="119" t="s">
        <v>572</v>
      </c>
      <c r="F18" s="15">
        <v>7</v>
      </c>
      <c r="G18" s="18">
        <v>3</v>
      </c>
      <c r="H18" s="17">
        <v>6</v>
      </c>
      <c r="I18" s="16">
        <v>0</v>
      </c>
      <c r="J18" s="186">
        <v>5</v>
      </c>
      <c r="K18" s="192">
        <v>3</v>
      </c>
      <c r="L18" s="876">
        <v>310</v>
      </c>
      <c r="M18" s="890">
        <v>885</v>
      </c>
      <c r="N18" s="106">
        <v>350</v>
      </c>
      <c r="O18" s="454">
        <v>15</v>
      </c>
      <c r="P18" s="568">
        <v>15</v>
      </c>
      <c r="Q18" s="11">
        <v>2579</v>
      </c>
      <c r="R18" s="98">
        <v>250</v>
      </c>
      <c r="S18" s="99"/>
      <c r="T18" s="127">
        <v>11500</v>
      </c>
      <c r="U18" s="100">
        <v>101000</v>
      </c>
      <c r="V18" s="100">
        <v>10000</v>
      </c>
      <c r="W18" s="552">
        <v>0.55</v>
      </c>
      <c r="X18" s="907">
        <v>2813</v>
      </c>
      <c r="Y18" s="51">
        <v>50</v>
      </c>
      <c r="Z18" s="52">
        <v>20</v>
      </c>
      <c r="AA18" s="52">
        <v>25</v>
      </c>
      <c r="AB18" s="53">
        <v>35</v>
      </c>
      <c r="AC18" s="149">
        <v>2050</v>
      </c>
      <c r="AD18" s="141">
        <v>2250</v>
      </c>
      <c r="AF18" s="40">
        <v>0</v>
      </c>
      <c r="AG18" s="41">
        <v>50</v>
      </c>
      <c r="AH18" s="41">
        <v>40</v>
      </c>
      <c r="AI18" s="42">
        <v>20</v>
      </c>
      <c r="AJ18" s="5">
        <f>Q18+X18+AC18</f>
        <v>7442</v>
      </c>
      <c r="AK18" s="103" t="str">
        <f t="shared" si="1"/>
        <v>A</v>
      </c>
      <c r="AL18" s="862">
        <v>1500</v>
      </c>
      <c r="AM18" s="101">
        <v>491.25</v>
      </c>
      <c r="AO18" s="146">
        <v>42</v>
      </c>
      <c r="AP18" s="179" t="s">
        <v>465</v>
      </c>
      <c r="AQ18" s="125">
        <v>285</v>
      </c>
      <c r="AR18" s="70">
        <v>13</v>
      </c>
      <c r="AS18" s="71">
        <v>0</v>
      </c>
      <c r="AT18" s="71">
        <v>0</v>
      </c>
      <c r="AU18" s="72">
        <v>0</v>
      </c>
      <c r="AV18" s="7">
        <v>135</v>
      </c>
      <c r="AW18" s="144">
        <v>175</v>
      </c>
      <c r="AX18" s="56">
        <v>8</v>
      </c>
      <c r="AY18" s="34">
        <v>0</v>
      </c>
      <c r="AZ18" s="34">
        <v>0</v>
      </c>
      <c r="BA18" s="84">
        <v>0</v>
      </c>
      <c r="BB18" s="596">
        <v>3</v>
      </c>
      <c r="BC18" s="596"/>
      <c r="BD18" s="553"/>
      <c r="BE18" s="596"/>
      <c r="BF18" s="596"/>
      <c r="BG18" s="596"/>
      <c r="BH18" s="596"/>
      <c r="BI18" s="596"/>
      <c r="BJ18" s="700" t="s">
        <v>1476</v>
      </c>
      <c r="BK18" s="310" t="s">
        <v>136</v>
      </c>
      <c r="BL18" s="420" t="s">
        <v>844</v>
      </c>
      <c r="BM18" s="32" t="s">
        <v>1083</v>
      </c>
      <c r="BN18" s="762" t="s">
        <v>463</v>
      </c>
      <c r="BO18" s="641"/>
      <c r="BP18" s="78"/>
      <c r="BQ18" s="76"/>
      <c r="BR18" s="768" t="s">
        <v>175</v>
      </c>
      <c r="BS18" s="643"/>
      <c r="BT18" s="78"/>
      <c r="BU18" s="76"/>
      <c r="BV18" s="77"/>
      <c r="BW18" s="641"/>
      <c r="BX18" s="78"/>
      <c r="BY18" s="94"/>
      <c r="BZ18" s="793" t="s">
        <v>92</v>
      </c>
      <c r="CA18" s="131" t="s">
        <v>114</v>
      </c>
      <c r="CB18" s="608"/>
      <c r="CC18" s="613">
        <v>5</v>
      </c>
      <c r="CD18" s="614">
        <f>15/25</f>
        <v>0.6</v>
      </c>
      <c r="CE18" s="136" t="s">
        <v>438</v>
      </c>
      <c r="CF18" s="546">
        <v>8000000</v>
      </c>
    </row>
    <row r="19" spans="1:84" ht="12.75">
      <c r="A19" s="115" t="s">
        <v>1107</v>
      </c>
      <c r="B19" s="117" t="s">
        <v>684</v>
      </c>
      <c r="C19" s="308" t="s">
        <v>827</v>
      </c>
      <c r="D19" s="61">
        <v>50</v>
      </c>
      <c r="E19" s="119" t="s">
        <v>572</v>
      </c>
      <c r="F19" s="15">
        <v>7</v>
      </c>
      <c r="G19" s="18">
        <v>3</v>
      </c>
      <c r="H19" s="17">
        <v>6</v>
      </c>
      <c r="I19" s="16">
        <v>0</v>
      </c>
      <c r="J19" s="186">
        <v>5</v>
      </c>
      <c r="K19" s="192">
        <v>3</v>
      </c>
      <c r="L19" s="876">
        <v>335</v>
      </c>
      <c r="M19" s="890">
        <v>960</v>
      </c>
      <c r="N19" s="106">
        <v>350</v>
      </c>
      <c r="O19" s="454">
        <v>25</v>
      </c>
      <c r="P19" s="568">
        <v>25</v>
      </c>
      <c r="Q19" s="11">
        <v>2678</v>
      </c>
      <c r="R19" s="98">
        <v>250</v>
      </c>
      <c r="S19" s="99"/>
      <c r="T19" s="127">
        <v>11500</v>
      </c>
      <c r="U19" s="100">
        <v>101000</v>
      </c>
      <c r="V19" s="100">
        <v>10000</v>
      </c>
      <c r="W19" s="552">
        <v>0.55</v>
      </c>
      <c r="X19" s="147">
        <v>3013</v>
      </c>
      <c r="Y19" s="51">
        <v>50</v>
      </c>
      <c r="Z19" s="52">
        <v>20</v>
      </c>
      <c r="AA19" s="52">
        <v>25</v>
      </c>
      <c r="AB19" s="53">
        <v>35</v>
      </c>
      <c r="AC19" s="149">
        <v>2216</v>
      </c>
      <c r="AD19" s="141">
        <v>1750</v>
      </c>
      <c r="AF19" s="40">
        <v>0</v>
      </c>
      <c r="AG19" s="41">
        <v>50</v>
      </c>
      <c r="AH19" s="41">
        <v>40</v>
      </c>
      <c r="AI19" s="42">
        <v>20</v>
      </c>
      <c r="AJ19" s="5">
        <f t="shared" si="0"/>
        <v>7907</v>
      </c>
      <c r="AK19" s="103" t="str">
        <f t="shared" si="1"/>
        <v>A</v>
      </c>
      <c r="AL19" s="862">
        <v>1625</v>
      </c>
      <c r="AM19" s="101">
        <v>464.1</v>
      </c>
      <c r="AO19" s="146">
        <v>45</v>
      </c>
      <c r="AP19" s="179" t="s">
        <v>990</v>
      </c>
      <c r="AQ19" s="125">
        <v>255</v>
      </c>
      <c r="AR19" s="70">
        <v>16</v>
      </c>
      <c r="AS19" s="71">
        <v>0</v>
      </c>
      <c r="AT19" s="71">
        <v>0</v>
      </c>
      <c r="AU19" s="72">
        <v>0</v>
      </c>
      <c r="AV19" s="7">
        <v>112</v>
      </c>
      <c r="AW19" s="144">
        <v>200</v>
      </c>
      <c r="AX19" s="56">
        <v>8</v>
      </c>
      <c r="AY19" s="34">
        <v>0</v>
      </c>
      <c r="AZ19" s="34">
        <v>0</v>
      </c>
      <c r="BA19" s="84">
        <v>0</v>
      </c>
      <c r="BB19" s="596">
        <v>3</v>
      </c>
      <c r="BC19" s="596"/>
      <c r="BD19" s="553"/>
      <c r="BE19" s="596"/>
      <c r="BF19" s="596"/>
      <c r="BG19" s="596"/>
      <c r="BH19" s="596"/>
      <c r="BI19" s="596"/>
      <c r="BJ19" s="700" t="s">
        <v>1476</v>
      </c>
      <c r="BK19" s="310" t="s">
        <v>136</v>
      </c>
      <c r="BL19" s="420" t="s">
        <v>1108</v>
      </c>
      <c r="BM19" s="32" t="s">
        <v>1423</v>
      </c>
      <c r="BN19" s="635" t="s">
        <v>463</v>
      </c>
      <c r="BO19" s="641"/>
      <c r="BP19" s="78"/>
      <c r="BQ19" s="76"/>
      <c r="BR19" s="79" t="s">
        <v>463</v>
      </c>
      <c r="BS19" s="643"/>
      <c r="BT19" s="78"/>
      <c r="BU19" s="76"/>
      <c r="BV19" s="77"/>
      <c r="BW19" s="641"/>
      <c r="BX19" s="78"/>
      <c r="BY19" s="94"/>
      <c r="BZ19" s="793" t="s">
        <v>92</v>
      </c>
      <c r="CA19" s="131">
        <v>17709</v>
      </c>
      <c r="CB19" s="608"/>
      <c r="CC19" s="613">
        <f>5*1.375</f>
        <v>6.875</v>
      </c>
      <c r="CD19" s="614">
        <v>1</v>
      </c>
      <c r="CE19" s="136">
        <v>18.5</v>
      </c>
      <c r="CF19" s="546"/>
    </row>
    <row r="20" spans="1:84" ht="12.75">
      <c r="A20" s="115" t="s">
        <v>47</v>
      </c>
      <c r="B20" s="69" t="s">
        <v>47</v>
      </c>
      <c r="C20" s="795" t="s">
        <v>994</v>
      </c>
      <c r="D20" s="61">
        <v>50</v>
      </c>
      <c r="E20" s="119" t="s">
        <v>572</v>
      </c>
      <c r="F20" s="15">
        <v>6</v>
      </c>
      <c r="G20" s="18">
        <v>3</v>
      </c>
      <c r="H20" s="17">
        <v>6</v>
      </c>
      <c r="I20" s="16">
        <v>2</v>
      </c>
      <c r="J20" s="186">
        <v>4</v>
      </c>
      <c r="K20" s="192">
        <v>3</v>
      </c>
      <c r="L20" s="876">
        <v>350</v>
      </c>
      <c r="M20" s="890">
        <v>725</v>
      </c>
      <c r="N20" s="106">
        <v>350</v>
      </c>
      <c r="O20" s="454">
        <v>15</v>
      </c>
      <c r="P20" s="568">
        <v>15</v>
      </c>
      <c r="Q20" s="11">
        <v>2188</v>
      </c>
      <c r="R20" s="98">
        <v>250</v>
      </c>
      <c r="S20" s="99"/>
      <c r="T20" s="127">
        <v>10100</v>
      </c>
      <c r="U20" s="100">
        <v>101000</v>
      </c>
      <c r="V20" s="100">
        <v>10000</v>
      </c>
      <c r="W20" s="552"/>
      <c r="X20" s="147">
        <v>2298</v>
      </c>
      <c r="Y20" s="138">
        <v>60</v>
      </c>
      <c r="Z20" s="52">
        <v>10</v>
      </c>
      <c r="AA20" s="52">
        <v>25</v>
      </c>
      <c r="AB20" s="53">
        <v>35</v>
      </c>
      <c r="AC20" s="149">
        <v>2188</v>
      </c>
      <c r="AD20" s="141">
        <v>1250</v>
      </c>
      <c r="AF20" s="40">
        <v>0</v>
      </c>
      <c r="AG20" s="41">
        <v>50</v>
      </c>
      <c r="AH20" s="41">
        <v>40</v>
      </c>
      <c r="AI20" s="42">
        <v>20</v>
      </c>
      <c r="AJ20" s="5">
        <f t="shared" si="0"/>
        <v>6674</v>
      </c>
      <c r="AK20" s="103" t="str">
        <f t="shared" si="1"/>
        <v>~</v>
      </c>
      <c r="AL20" s="862">
        <v>1250</v>
      </c>
      <c r="AM20" s="101">
        <v>491.25</v>
      </c>
      <c r="AO20" s="146">
        <v>55</v>
      </c>
      <c r="AP20" s="179" t="s">
        <v>462</v>
      </c>
      <c r="AQ20" s="125">
        <v>220</v>
      </c>
      <c r="AR20" s="70">
        <v>0</v>
      </c>
      <c r="AS20" s="71">
        <v>0</v>
      </c>
      <c r="AT20" s="71">
        <v>0</v>
      </c>
      <c r="AU20" s="72">
        <v>13</v>
      </c>
      <c r="AV20" s="7">
        <v>135</v>
      </c>
      <c r="AW20" s="144">
        <v>245</v>
      </c>
      <c r="AX20" s="56">
        <v>0</v>
      </c>
      <c r="AY20" s="34">
        <v>0</v>
      </c>
      <c r="AZ20" s="34">
        <v>0</v>
      </c>
      <c r="BA20" s="84">
        <v>9</v>
      </c>
      <c r="BB20" s="596"/>
      <c r="BC20" s="596"/>
      <c r="BD20" s="553"/>
      <c r="BE20" s="596"/>
      <c r="BF20" s="596"/>
      <c r="BG20" s="596"/>
      <c r="BH20" s="596"/>
      <c r="BI20" s="596"/>
      <c r="BJ20" s="700" t="s">
        <v>1476</v>
      </c>
      <c r="BK20" s="310" t="s">
        <v>136</v>
      </c>
      <c r="BL20" s="420" t="s">
        <v>250</v>
      </c>
      <c r="BM20" s="32" t="s">
        <v>1445</v>
      </c>
      <c r="BN20" s="640"/>
      <c r="BO20" s="641"/>
      <c r="BP20" s="763" t="s">
        <v>463</v>
      </c>
      <c r="BQ20" s="761" t="s">
        <v>463</v>
      </c>
      <c r="BR20" s="77"/>
      <c r="BS20" s="643"/>
      <c r="BT20" s="763" t="s">
        <v>467</v>
      </c>
      <c r="BU20" s="761" t="s">
        <v>467</v>
      </c>
      <c r="BV20" s="77"/>
      <c r="BW20" s="641"/>
      <c r="BX20" s="78"/>
      <c r="BY20" s="94"/>
      <c r="BZ20" s="793" t="s">
        <v>1132</v>
      </c>
      <c r="CA20" s="131" t="s">
        <v>115</v>
      </c>
      <c r="CB20" s="608"/>
      <c r="CC20" s="613">
        <f>4*1.5</f>
        <v>6</v>
      </c>
      <c r="CD20" s="614">
        <f>15/25</f>
        <v>0.6</v>
      </c>
      <c r="CE20" s="135" t="s">
        <v>1040</v>
      </c>
      <c r="CF20" s="546">
        <v>8000000</v>
      </c>
    </row>
    <row r="21" spans="1:84" ht="12.75">
      <c r="A21" s="115" t="s">
        <v>45</v>
      </c>
      <c r="B21" s="69" t="s">
        <v>45</v>
      </c>
      <c r="C21" s="796" t="s">
        <v>929</v>
      </c>
      <c r="D21" s="61">
        <v>50</v>
      </c>
      <c r="E21" s="119" t="s">
        <v>572</v>
      </c>
      <c r="F21" s="15">
        <v>6</v>
      </c>
      <c r="G21" s="739">
        <v>3</v>
      </c>
      <c r="H21" s="732">
        <v>7</v>
      </c>
      <c r="I21" s="16">
        <v>1</v>
      </c>
      <c r="J21" s="738">
        <v>4</v>
      </c>
      <c r="K21" s="192">
        <v>3</v>
      </c>
      <c r="L21" s="876">
        <v>300</v>
      </c>
      <c r="M21" s="890">
        <v>850</v>
      </c>
      <c r="N21" s="106">
        <v>350</v>
      </c>
      <c r="O21" s="454">
        <v>0</v>
      </c>
      <c r="P21" s="568">
        <v>0</v>
      </c>
      <c r="Q21" s="11">
        <v>2406</v>
      </c>
      <c r="R21" s="98">
        <v>280</v>
      </c>
      <c r="S21" s="99"/>
      <c r="T21" s="127">
        <v>12000</v>
      </c>
      <c r="U21" s="100">
        <v>118000</v>
      </c>
      <c r="V21" s="100">
        <v>10000</v>
      </c>
      <c r="W21" s="552"/>
      <c r="X21" s="147">
        <v>2625</v>
      </c>
      <c r="Y21" s="138">
        <v>50</v>
      </c>
      <c r="Z21" s="52">
        <v>20</v>
      </c>
      <c r="AA21" s="52">
        <v>25</v>
      </c>
      <c r="AB21" s="53">
        <v>35</v>
      </c>
      <c r="AC21" s="149">
        <v>1914</v>
      </c>
      <c r="AD21" s="141">
        <v>1250</v>
      </c>
      <c r="AF21" s="40">
        <v>0</v>
      </c>
      <c r="AG21" s="41">
        <v>50</v>
      </c>
      <c r="AH21" s="41">
        <v>40</v>
      </c>
      <c r="AI21" s="42">
        <v>20</v>
      </c>
      <c r="AJ21" s="5">
        <f t="shared" si="0"/>
        <v>6945</v>
      </c>
      <c r="AK21" s="103" t="str">
        <f t="shared" si="1"/>
        <v>A</v>
      </c>
      <c r="AL21" s="862">
        <v>1725</v>
      </c>
      <c r="AM21" s="101">
        <v>537.5</v>
      </c>
      <c r="AO21" s="146">
        <v>47</v>
      </c>
      <c r="AP21" s="179" t="s">
        <v>465</v>
      </c>
      <c r="AQ21" s="125">
        <v>235</v>
      </c>
      <c r="AR21" s="70">
        <v>13</v>
      </c>
      <c r="AS21" s="71">
        <v>0</v>
      </c>
      <c r="AT21" s="71">
        <v>0</v>
      </c>
      <c r="AU21" s="72">
        <v>0</v>
      </c>
      <c r="AV21" s="7">
        <v>130</v>
      </c>
      <c r="AW21" s="144">
        <v>175</v>
      </c>
      <c r="AX21" s="56">
        <v>9</v>
      </c>
      <c r="AY21" s="34">
        <v>0</v>
      </c>
      <c r="AZ21" s="34">
        <v>0</v>
      </c>
      <c r="BA21" s="84">
        <v>0</v>
      </c>
      <c r="BB21" s="596"/>
      <c r="BC21" s="596"/>
      <c r="BD21" s="553"/>
      <c r="BE21" s="596"/>
      <c r="BF21" s="596"/>
      <c r="BG21" s="596"/>
      <c r="BH21" s="596"/>
      <c r="BI21" s="596"/>
      <c r="BJ21" s="700" t="s">
        <v>1476</v>
      </c>
      <c r="BK21" s="310" t="s">
        <v>136</v>
      </c>
      <c r="BL21" s="420" t="s">
        <v>3</v>
      </c>
      <c r="BM21" s="32" t="s">
        <v>996</v>
      </c>
      <c r="BN21" s="640" t="s">
        <v>463</v>
      </c>
      <c r="BO21" s="641"/>
      <c r="BP21" s="78"/>
      <c r="BQ21" s="82" t="s">
        <v>463</v>
      </c>
      <c r="BR21" s="764" t="s">
        <v>467</v>
      </c>
      <c r="BS21" s="641"/>
      <c r="BT21" s="78"/>
      <c r="BU21" s="82" t="s">
        <v>467</v>
      </c>
      <c r="BV21" s="77"/>
      <c r="BW21" s="641"/>
      <c r="BX21" s="78"/>
      <c r="BY21" s="94"/>
      <c r="BZ21" s="793" t="s">
        <v>92</v>
      </c>
      <c r="CA21" s="131" t="s">
        <v>116</v>
      </c>
      <c r="CB21" s="608"/>
      <c r="CC21" s="613">
        <v>5</v>
      </c>
      <c r="CD21" s="614">
        <v>0</v>
      </c>
      <c r="CE21" s="136" t="s">
        <v>440</v>
      </c>
      <c r="CF21" s="546">
        <v>8375000</v>
      </c>
    </row>
    <row r="22" spans="1:84" ht="12.75">
      <c r="A22" s="115" t="s">
        <v>46</v>
      </c>
      <c r="B22" s="117" t="s">
        <v>641</v>
      </c>
      <c r="C22" s="636" t="s">
        <v>865</v>
      </c>
      <c r="D22" s="61">
        <v>50</v>
      </c>
      <c r="E22" s="119" t="s">
        <v>572</v>
      </c>
      <c r="F22" s="15">
        <v>4</v>
      </c>
      <c r="G22" s="18">
        <v>5</v>
      </c>
      <c r="H22" s="17">
        <v>6</v>
      </c>
      <c r="I22" s="754">
        <v>6</v>
      </c>
      <c r="J22" s="187">
        <v>2</v>
      </c>
      <c r="K22" s="192">
        <v>3</v>
      </c>
      <c r="L22" s="876">
        <v>415</v>
      </c>
      <c r="M22" s="890">
        <v>690</v>
      </c>
      <c r="N22" s="106">
        <v>350</v>
      </c>
      <c r="O22" s="454">
        <v>15</v>
      </c>
      <c r="P22" s="568">
        <v>15</v>
      </c>
      <c r="Q22" s="11">
        <v>2285</v>
      </c>
      <c r="R22" s="98">
        <v>250</v>
      </c>
      <c r="S22" s="99"/>
      <c r="T22" s="127">
        <v>10100</v>
      </c>
      <c r="U22" s="100">
        <v>101000</v>
      </c>
      <c r="V22" s="100">
        <v>10000</v>
      </c>
      <c r="W22" s="552">
        <v>0.4</v>
      </c>
      <c r="X22" s="147">
        <v>1993</v>
      </c>
      <c r="Y22" s="138">
        <v>50</v>
      </c>
      <c r="Z22" s="52">
        <v>10</v>
      </c>
      <c r="AA22" s="52">
        <v>25</v>
      </c>
      <c r="AB22" s="53">
        <v>45</v>
      </c>
      <c r="AC22" s="149">
        <v>2813</v>
      </c>
      <c r="AD22" s="141">
        <v>1650</v>
      </c>
      <c r="AF22" s="40">
        <v>0</v>
      </c>
      <c r="AG22" s="41">
        <v>50</v>
      </c>
      <c r="AH22" s="41">
        <v>40</v>
      </c>
      <c r="AI22" s="42">
        <v>20</v>
      </c>
      <c r="AJ22" s="5">
        <f>Q22+X22+AC22</f>
        <v>7091</v>
      </c>
      <c r="AK22" s="103" t="str">
        <f t="shared" si="1"/>
        <v>S</v>
      </c>
      <c r="AL22" s="862">
        <v>1375</v>
      </c>
      <c r="AM22" s="101">
        <v>491.25</v>
      </c>
      <c r="AO22" s="146">
        <v>57</v>
      </c>
      <c r="AP22" s="179" t="s">
        <v>462</v>
      </c>
      <c r="AQ22" s="125">
        <v>210</v>
      </c>
      <c r="AR22" s="70">
        <v>0</v>
      </c>
      <c r="AS22" s="71">
        <v>18</v>
      </c>
      <c r="AT22" s="71">
        <v>0</v>
      </c>
      <c r="AU22" s="72">
        <v>0</v>
      </c>
      <c r="AV22" s="7">
        <v>130</v>
      </c>
      <c r="AW22" s="144">
        <v>175</v>
      </c>
      <c r="AX22" s="56">
        <v>0</v>
      </c>
      <c r="AY22" s="34">
        <v>7</v>
      </c>
      <c r="AZ22" s="34">
        <v>0</v>
      </c>
      <c r="BA22" s="84">
        <v>0</v>
      </c>
      <c r="BB22" s="596">
        <v>3</v>
      </c>
      <c r="BC22" s="596"/>
      <c r="BD22" s="553"/>
      <c r="BE22" s="596"/>
      <c r="BF22" s="596"/>
      <c r="BG22" s="596"/>
      <c r="BH22" s="596"/>
      <c r="BI22" s="596"/>
      <c r="BJ22" s="700" t="s">
        <v>1476</v>
      </c>
      <c r="BK22" s="310" t="s">
        <v>1671</v>
      </c>
      <c r="BL22" s="420" t="s">
        <v>958</v>
      </c>
      <c r="BM22" s="32" t="s">
        <v>407</v>
      </c>
      <c r="BN22" s="640"/>
      <c r="BO22" s="767" t="s">
        <v>463</v>
      </c>
      <c r="BP22" s="78"/>
      <c r="BQ22" s="76"/>
      <c r="BR22" s="77"/>
      <c r="BS22" s="765" t="s">
        <v>463</v>
      </c>
      <c r="BT22" s="78"/>
      <c r="BU22" s="76"/>
      <c r="BV22" s="77"/>
      <c r="BW22" s="641"/>
      <c r="BX22" s="78"/>
      <c r="BY22" s="94"/>
      <c r="BZ22" s="793" t="s">
        <v>1133</v>
      </c>
      <c r="CA22" s="131" t="s">
        <v>1270</v>
      </c>
      <c r="CB22" s="608"/>
      <c r="CC22" s="613">
        <f>6*1.25</f>
        <v>7.5</v>
      </c>
      <c r="CD22" s="614">
        <f>15/25</f>
        <v>0.6</v>
      </c>
      <c r="CE22" s="135" t="s">
        <v>1041</v>
      </c>
      <c r="CF22" s="546">
        <v>8000000</v>
      </c>
    </row>
    <row r="23" spans="1:84" ht="12.75">
      <c r="A23" s="115" t="s">
        <v>1398</v>
      </c>
      <c r="B23" s="117" t="s">
        <v>1197</v>
      </c>
      <c r="C23" s="636" t="s">
        <v>865</v>
      </c>
      <c r="D23" s="61">
        <v>50</v>
      </c>
      <c r="E23" s="119" t="s">
        <v>572</v>
      </c>
      <c r="F23" s="15">
        <v>3</v>
      </c>
      <c r="G23" s="18">
        <v>5</v>
      </c>
      <c r="H23" s="17">
        <v>4</v>
      </c>
      <c r="I23" s="755">
        <v>4</v>
      </c>
      <c r="J23" s="187">
        <v>2</v>
      </c>
      <c r="K23" s="192">
        <v>3</v>
      </c>
      <c r="L23" s="876">
        <v>365</v>
      </c>
      <c r="M23" s="890">
        <v>540</v>
      </c>
      <c r="N23" s="106">
        <v>350</v>
      </c>
      <c r="O23" s="454">
        <v>10</v>
      </c>
      <c r="P23" s="568">
        <v>10</v>
      </c>
      <c r="Q23" s="11">
        <v>1197</v>
      </c>
      <c r="R23" s="98">
        <v>485</v>
      </c>
      <c r="S23" s="99"/>
      <c r="T23" s="127">
        <v>9500</v>
      </c>
      <c r="U23" s="100">
        <v>107000</v>
      </c>
      <c r="V23" s="100">
        <v>10000</v>
      </c>
      <c r="W23" s="552">
        <v>0.44</v>
      </c>
      <c r="X23" s="147">
        <v>950</v>
      </c>
      <c r="Y23" s="138">
        <v>50</v>
      </c>
      <c r="Z23" s="52">
        <v>10</v>
      </c>
      <c r="AA23" s="52">
        <v>25</v>
      </c>
      <c r="AB23" s="53">
        <v>45</v>
      </c>
      <c r="AC23" s="149">
        <v>1407</v>
      </c>
      <c r="AD23" s="141">
        <v>1150</v>
      </c>
      <c r="AF23" s="40">
        <v>0</v>
      </c>
      <c r="AG23" s="41">
        <v>50</v>
      </c>
      <c r="AH23" s="41">
        <v>40</v>
      </c>
      <c r="AI23" s="42">
        <v>20</v>
      </c>
      <c r="AJ23" s="5">
        <f t="shared" si="0"/>
        <v>3554</v>
      </c>
      <c r="AK23" s="103" t="str">
        <f t="shared" si="1"/>
        <v>S</v>
      </c>
      <c r="AL23" s="862">
        <v>1062</v>
      </c>
      <c r="AM23" s="101">
        <v>381.25</v>
      </c>
      <c r="AO23" s="146">
        <v>52</v>
      </c>
      <c r="AP23" s="179" t="s">
        <v>465</v>
      </c>
      <c r="AQ23" s="125">
        <v>270</v>
      </c>
      <c r="AR23" s="70">
        <v>0</v>
      </c>
      <c r="AS23" s="71">
        <v>16</v>
      </c>
      <c r="AT23" s="71">
        <v>0</v>
      </c>
      <c r="AU23" s="72">
        <v>0</v>
      </c>
      <c r="AV23" s="7">
        <v>112</v>
      </c>
      <c r="AW23" s="144">
        <v>230</v>
      </c>
      <c r="AX23" s="56">
        <v>0</v>
      </c>
      <c r="AY23" s="34">
        <v>7</v>
      </c>
      <c r="AZ23" s="34">
        <v>0</v>
      </c>
      <c r="BA23" s="84">
        <v>0</v>
      </c>
      <c r="BB23" s="596">
        <v>3</v>
      </c>
      <c r="BC23" s="596"/>
      <c r="BD23" s="553"/>
      <c r="BE23" s="596"/>
      <c r="BF23" s="596"/>
      <c r="BG23" s="596"/>
      <c r="BH23" s="596"/>
      <c r="BI23" s="596"/>
      <c r="BJ23" s="700" t="s">
        <v>1476</v>
      </c>
      <c r="BK23" s="310" t="s">
        <v>1671</v>
      </c>
      <c r="BL23" s="420" t="s">
        <v>1348</v>
      </c>
      <c r="BM23" s="32" t="s">
        <v>580</v>
      </c>
      <c r="BN23" s="640"/>
      <c r="BO23" s="642" t="s">
        <v>463</v>
      </c>
      <c r="BP23" s="78"/>
      <c r="BQ23" s="76"/>
      <c r="BR23" s="77"/>
      <c r="BS23" s="766" t="s">
        <v>175</v>
      </c>
      <c r="BT23" s="78"/>
      <c r="BU23" s="76"/>
      <c r="BV23" s="77"/>
      <c r="BW23" s="641"/>
      <c r="BX23" s="78"/>
      <c r="BY23" s="94"/>
      <c r="BZ23" s="793" t="s">
        <v>1133</v>
      </c>
      <c r="CA23" s="131">
        <v>29340</v>
      </c>
      <c r="CB23" s="608"/>
      <c r="CC23" s="613">
        <f>4*1.25</f>
        <v>5</v>
      </c>
      <c r="CD23" s="614">
        <f>P23/25</f>
        <v>0.4</v>
      </c>
      <c r="CE23" s="135">
        <v>21.5</v>
      </c>
      <c r="CF23" s="546"/>
    </row>
    <row r="24" spans="1:84" ht="12.75">
      <c r="A24" s="115" t="s">
        <v>581</v>
      </c>
      <c r="B24" s="117" t="s">
        <v>1496</v>
      </c>
      <c r="C24" s="315" t="s">
        <v>1042</v>
      </c>
      <c r="D24" s="61">
        <v>50</v>
      </c>
      <c r="E24" s="119" t="s">
        <v>572</v>
      </c>
      <c r="F24" s="15">
        <v>5</v>
      </c>
      <c r="G24" s="18">
        <v>3</v>
      </c>
      <c r="H24" s="17">
        <v>4</v>
      </c>
      <c r="I24" s="16">
        <v>0</v>
      </c>
      <c r="J24" s="737">
        <v>4</v>
      </c>
      <c r="K24" s="192">
        <v>3</v>
      </c>
      <c r="L24" s="876">
        <v>280</v>
      </c>
      <c r="M24" s="890">
        <v>760</v>
      </c>
      <c r="N24" s="106">
        <v>350</v>
      </c>
      <c r="O24" s="455">
        <v>20</v>
      </c>
      <c r="P24" s="570">
        <v>20</v>
      </c>
      <c r="Q24" s="11">
        <v>1687</v>
      </c>
      <c r="R24" s="98">
        <v>265</v>
      </c>
      <c r="S24" s="107"/>
      <c r="T24" s="128">
        <v>9750</v>
      </c>
      <c r="U24" s="109">
        <v>112000</v>
      </c>
      <c r="V24" s="100">
        <v>10000</v>
      </c>
      <c r="W24" s="552">
        <v>0.55</v>
      </c>
      <c r="X24" s="147">
        <v>1476</v>
      </c>
      <c r="Y24" s="140">
        <v>50</v>
      </c>
      <c r="Z24" s="52">
        <v>10</v>
      </c>
      <c r="AA24" s="52">
        <v>35</v>
      </c>
      <c r="AB24" s="53">
        <v>35</v>
      </c>
      <c r="AC24" s="149">
        <v>1372</v>
      </c>
      <c r="AD24" s="141">
        <v>1450</v>
      </c>
      <c r="AE24" s="3"/>
      <c r="AF24" s="40">
        <v>0</v>
      </c>
      <c r="AG24" s="41">
        <v>50</v>
      </c>
      <c r="AH24" s="41">
        <v>40</v>
      </c>
      <c r="AI24" s="42">
        <v>20</v>
      </c>
      <c r="AJ24" s="5">
        <f>Q24+X24+AC24</f>
        <v>4535</v>
      </c>
      <c r="AK24" s="103" t="str">
        <f>IF($X24=$AC24,"=",IF(MAX($AC24,$X24)*0.1&gt;ABS($X24-$AC24),"~",IF(MAX($AC24,$X24)=$X24,"A","S")))</f>
        <v>~</v>
      </c>
      <c r="AL24" s="862">
        <v>1375</v>
      </c>
      <c r="AM24" s="101">
        <v>491.25</v>
      </c>
      <c r="AN24" s="111"/>
      <c r="AO24" s="146">
        <v>47</v>
      </c>
      <c r="AP24" s="179" t="s">
        <v>465</v>
      </c>
      <c r="AQ24" s="125">
        <v>280</v>
      </c>
      <c r="AR24" s="70">
        <v>0</v>
      </c>
      <c r="AS24" s="71">
        <v>0</v>
      </c>
      <c r="AT24" s="71">
        <v>15</v>
      </c>
      <c r="AU24" s="72">
        <v>0</v>
      </c>
      <c r="AV24" s="7">
        <v>108</v>
      </c>
      <c r="AW24" s="144">
        <v>250</v>
      </c>
      <c r="AX24" s="33">
        <v>0</v>
      </c>
      <c r="AY24" s="34">
        <v>0</v>
      </c>
      <c r="AZ24" s="34">
        <v>8</v>
      </c>
      <c r="BA24" s="84">
        <v>0</v>
      </c>
      <c r="BB24" s="598">
        <v>3</v>
      </c>
      <c r="BC24" s="596"/>
      <c r="BD24" s="553"/>
      <c r="BE24" s="596"/>
      <c r="BF24" s="596"/>
      <c r="BG24" s="596"/>
      <c r="BH24" s="596"/>
      <c r="BI24" s="596"/>
      <c r="BJ24" s="700" t="s">
        <v>1476</v>
      </c>
      <c r="BK24" s="310" t="s">
        <v>136</v>
      </c>
      <c r="BL24" s="420" t="s">
        <v>1013</v>
      </c>
      <c r="BM24" s="86" t="s">
        <v>1713</v>
      </c>
      <c r="BN24" s="640"/>
      <c r="BO24" s="641"/>
      <c r="BP24" s="760" t="s">
        <v>463</v>
      </c>
      <c r="BQ24" s="76"/>
      <c r="BR24" s="77"/>
      <c r="BS24" s="641"/>
      <c r="BT24" s="760" t="s">
        <v>175</v>
      </c>
      <c r="BU24" s="76"/>
      <c r="BV24" s="77"/>
      <c r="BW24" s="641"/>
      <c r="BX24" s="78"/>
      <c r="BY24" s="94"/>
      <c r="BZ24" s="793" t="s">
        <v>1135</v>
      </c>
      <c r="CA24" s="792">
        <v>29344</v>
      </c>
      <c r="CB24" s="608"/>
      <c r="CC24" s="613">
        <f>4*1.25</f>
        <v>5</v>
      </c>
      <c r="CD24" s="614">
        <f aca="true" t="shared" si="2" ref="CD24:CD43">P24/25</f>
        <v>0.8</v>
      </c>
      <c r="CE24" s="136">
        <v>24.5</v>
      </c>
      <c r="CF24" s="546"/>
    </row>
    <row r="25" spans="1:84" ht="12.75">
      <c r="A25" s="24" t="s">
        <v>1043</v>
      </c>
      <c r="B25" s="117" t="s">
        <v>1444</v>
      </c>
      <c r="C25" s="315" t="s">
        <v>1042</v>
      </c>
      <c r="D25" s="61">
        <v>50</v>
      </c>
      <c r="E25" s="119" t="s">
        <v>572</v>
      </c>
      <c r="F25" s="15">
        <v>5</v>
      </c>
      <c r="G25" s="18">
        <v>4</v>
      </c>
      <c r="H25" s="17">
        <v>5</v>
      </c>
      <c r="I25" s="16">
        <v>1</v>
      </c>
      <c r="J25" s="738">
        <v>5</v>
      </c>
      <c r="K25" s="192">
        <v>3</v>
      </c>
      <c r="L25" s="876">
        <v>400</v>
      </c>
      <c r="M25" s="885">
        <v>725</v>
      </c>
      <c r="N25" s="106">
        <v>350</v>
      </c>
      <c r="O25" s="455">
        <v>125</v>
      </c>
      <c r="P25" s="756">
        <v>125</v>
      </c>
      <c r="Q25" s="11">
        <v>2000</v>
      </c>
      <c r="R25" s="98">
        <v>480</v>
      </c>
      <c r="S25" s="108"/>
      <c r="T25" s="127">
        <v>13075</v>
      </c>
      <c r="U25" s="110">
        <v>115000</v>
      </c>
      <c r="V25" s="100">
        <v>10000</v>
      </c>
      <c r="W25" s="552"/>
      <c r="X25" s="148">
        <v>2000</v>
      </c>
      <c r="Y25" s="139">
        <v>50</v>
      </c>
      <c r="Z25" s="44">
        <v>10</v>
      </c>
      <c r="AA25" s="44">
        <v>25</v>
      </c>
      <c r="AB25" s="49">
        <v>45</v>
      </c>
      <c r="AC25" s="150">
        <v>1500</v>
      </c>
      <c r="AD25" s="142">
        <v>1250</v>
      </c>
      <c r="AE25" s="113"/>
      <c r="AF25" s="43">
        <v>0</v>
      </c>
      <c r="AG25" s="41">
        <v>50</v>
      </c>
      <c r="AH25" s="44">
        <v>40</v>
      </c>
      <c r="AI25" s="45">
        <v>20</v>
      </c>
      <c r="AJ25" s="5">
        <f t="shared" si="0"/>
        <v>5500</v>
      </c>
      <c r="AK25" s="103" t="str">
        <f>IF($X25=$AC25,"=",IF(MAX($AC25,$X25)*0.1&gt;ABS($X25-$AC25),"~",IF(MAX($AC25,$X25)=$X25,"A","S")))</f>
        <v>A</v>
      </c>
      <c r="AL25" s="862">
        <v>1250</v>
      </c>
      <c r="AM25" s="102">
        <v>446.25</v>
      </c>
      <c r="AN25" s="113"/>
      <c r="AO25" s="145">
        <v>62</v>
      </c>
      <c r="AP25" s="85" t="s">
        <v>1267</v>
      </c>
      <c r="AQ25" s="126">
        <v>240</v>
      </c>
      <c r="AR25" s="33">
        <v>0</v>
      </c>
      <c r="AS25" s="34">
        <v>0</v>
      </c>
      <c r="AT25" s="34">
        <v>19</v>
      </c>
      <c r="AU25" s="73">
        <v>0</v>
      </c>
      <c r="AV25" s="35">
        <v>140</v>
      </c>
      <c r="AW25" s="143">
        <v>200</v>
      </c>
      <c r="AX25" s="56">
        <v>0</v>
      </c>
      <c r="AY25" s="34">
        <v>0</v>
      </c>
      <c r="AZ25" s="34">
        <v>8</v>
      </c>
      <c r="BA25" s="84">
        <v>0</v>
      </c>
      <c r="BB25" s="112"/>
      <c r="BC25" s="112"/>
      <c r="BD25" s="550"/>
      <c r="BE25" s="112"/>
      <c r="BF25" s="112"/>
      <c r="BG25" s="112"/>
      <c r="BH25" s="112"/>
      <c r="BI25" s="112"/>
      <c r="BJ25" s="700" t="s">
        <v>1476</v>
      </c>
      <c r="BK25" s="310" t="s">
        <v>1149</v>
      </c>
      <c r="BL25" s="420" t="s">
        <v>997</v>
      </c>
      <c r="BM25" s="32" t="s">
        <v>1316</v>
      </c>
      <c r="BN25" s="640"/>
      <c r="BO25" s="641"/>
      <c r="BP25" s="78" t="s">
        <v>463</v>
      </c>
      <c r="BQ25" s="76"/>
      <c r="BR25" s="77"/>
      <c r="BS25" s="641"/>
      <c r="BT25" s="78" t="s">
        <v>467</v>
      </c>
      <c r="BU25" s="76"/>
      <c r="BV25" s="77"/>
      <c r="BW25" s="641"/>
      <c r="BX25" s="78"/>
      <c r="BY25" s="94"/>
      <c r="BZ25" s="794" t="s">
        <v>704</v>
      </c>
      <c r="CA25" s="132" t="s">
        <v>548</v>
      </c>
      <c r="CB25" s="609"/>
      <c r="CC25" s="613">
        <f>5*1.25</f>
        <v>6.25</v>
      </c>
      <c r="CD25" s="614">
        <f t="shared" si="2"/>
        <v>5</v>
      </c>
      <c r="CE25" s="136" t="s">
        <v>1166</v>
      </c>
      <c r="CF25" s="547">
        <v>8000000</v>
      </c>
    </row>
    <row r="26" spans="1:84" ht="12.75">
      <c r="A26" s="115" t="s">
        <v>1200</v>
      </c>
      <c r="B26" s="69" t="s">
        <v>1201</v>
      </c>
      <c r="C26" s="315" t="s">
        <v>1042</v>
      </c>
      <c r="D26" s="61">
        <v>50</v>
      </c>
      <c r="E26" s="119" t="s">
        <v>572</v>
      </c>
      <c r="F26" s="15">
        <v>6</v>
      </c>
      <c r="G26" s="18">
        <v>3</v>
      </c>
      <c r="H26" s="17">
        <v>5</v>
      </c>
      <c r="I26" s="16">
        <v>2</v>
      </c>
      <c r="J26" s="189">
        <v>2</v>
      </c>
      <c r="K26" s="188">
        <v>3</v>
      </c>
      <c r="L26" s="876">
        <v>400</v>
      </c>
      <c r="M26" s="890">
        <v>600</v>
      </c>
      <c r="N26" s="106">
        <v>300</v>
      </c>
      <c r="O26" s="455">
        <v>50</v>
      </c>
      <c r="P26" s="570">
        <v>50</v>
      </c>
      <c r="Q26" s="11">
        <v>1250</v>
      </c>
      <c r="R26" s="98">
        <v>1750</v>
      </c>
      <c r="S26" s="107"/>
      <c r="T26" s="128">
        <v>13075</v>
      </c>
      <c r="U26" s="109">
        <v>115000</v>
      </c>
      <c r="V26" s="100">
        <v>10000</v>
      </c>
      <c r="W26" s="552"/>
      <c r="X26" s="147">
        <v>1250</v>
      </c>
      <c r="Y26" s="140">
        <v>50</v>
      </c>
      <c r="Z26" s="52">
        <v>10</v>
      </c>
      <c r="AA26" s="52">
        <v>25</v>
      </c>
      <c r="AB26" s="53">
        <v>35</v>
      </c>
      <c r="AC26" s="149">
        <v>900</v>
      </c>
      <c r="AD26" s="141">
        <v>625</v>
      </c>
      <c r="AE26" s="3"/>
      <c r="AF26" s="40">
        <v>0</v>
      </c>
      <c r="AG26" s="41">
        <v>50</v>
      </c>
      <c r="AH26" s="41">
        <v>40</v>
      </c>
      <c r="AI26" s="42">
        <v>20</v>
      </c>
      <c r="AJ26" s="5">
        <f t="shared" si="0"/>
        <v>3400</v>
      </c>
      <c r="AK26" s="103" t="str">
        <f t="shared" si="1"/>
        <v>A</v>
      </c>
      <c r="AL26" s="862">
        <v>800</v>
      </c>
      <c r="AM26" s="101">
        <v>375</v>
      </c>
      <c r="AN26" s="111"/>
      <c r="AO26" s="146">
        <v>20</v>
      </c>
      <c r="AP26" s="179" t="s">
        <v>1267</v>
      </c>
      <c r="AQ26" s="125">
        <v>300</v>
      </c>
      <c r="AR26" s="70">
        <v>19</v>
      </c>
      <c r="AS26" s="71">
        <v>0</v>
      </c>
      <c r="AT26" s="71">
        <v>0</v>
      </c>
      <c r="AU26" s="72">
        <v>0</v>
      </c>
      <c r="AV26" s="7">
        <v>100</v>
      </c>
      <c r="AW26" s="144">
        <v>250</v>
      </c>
      <c r="AX26" s="33">
        <v>0</v>
      </c>
      <c r="AY26" s="34">
        <v>0</v>
      </c>
      <c r="AZ26" s="34">
        <v>0</v>
      </c>
      <c r="BA26" s="84">
        <v>0</v>
      </c>
      <c r="BB26" s="598"/>
      <c r="BC26" s="596"/>
      <c r="BD26" s="553"/>
      <c r="BE26" s="596"/>
      <c r="BF26" s="596"/>
      <c r="BG26" s="596"/>
      <c r="BH26" s="596"/>
      <c r="BI26" s="596"/>
      <c r="BJ26" s="700" t="s">
        <v>1476</v>
      </c>
      <c r="BK26" s="310" t="s">
        <v>1687</v>
      </c>
      <c r="BL26" s="420" t="s">
        <v>1299</v>
      </c>
      <c r="BM26" s="86" t="s">
        <v>319</v>
      </c>
      <c r="BN26" s="640"/>
      <c r="BO26" s="641"/>
      <c r="BP26" s="78" t="s">
        <v>463</v>
      </c>
      <c r="BQ26" s="76"/>
      <c r="BR26" s="77"/>
      <c r="BS26" s="641"/>
      <c r="BT26" s="78" t="s">
        <v>464</v>
      </c>
      <c r="BU26" s="76"/>
      <c r="BV26" s="77"/>
      <c r="BW26" s="641"/>
      <c r="BX26" s="78"/>
      <c r="BY26" s="94"/>
      <c r="BZ26" s="833"/>
      <c r="CA26" s="792">
        <v>635</v>
      </c>
      <c r="CB26" s="606" t="s">
        <v>214</v>
      </c>
      <c r="CC26" s="178">
        <v>4</v>
      </c>
      <c r="CD26" s="614">
        <f t="shared" si="2"/>
        <v>2</v>
      </c>
      <c r="CE26" s="135" t="s">
        <v>1167</v>
      </c>
      <c r="CF26" s="577" t="s">
        <v>246</v>
      </c>
    </row>
    <row r="27" spans="1:84" ht="12.75">
      <c r="A27" s="115" t="s">
        <v>56</v>
      </c>
      <c r="B27" s="117" t="s">
        <v>1444</v>
      </c>
      <c r="C27" s="315" t="s">
        <v>1042</v>
      </c>
      <c r="D27" s="61">
        <v>50</v>
      </c>
      <c r="E27" s="119" t="s">
        <v>572</v>
      </c>
      <c r="F27" s="15">
        <v>6</v>
      </c>
      <c r="G27" s="18">
        <v>3</v>
      </c>
      <c r="H27" s="17">
        <v>5</v>
      </c>
      <c r="I27" s="16">
        <v>0</v>
      </c>
      <c r="J27" s="737">
        <v>5</v>
      </c>
      <c r="K27" s="192">
        <v>3</v>
      </c>
      <c r="L27" s="876">
        <v>300</v>
      </c>
      <c r="M27" s="890">
        <v>700</v>
      </c>
      <c r="N27" s="106">
        <v>350</v>
      </c>
      <c r="O27" s="455">
        <v>100</v>
      </c>
      <c r="P27" s="756">
        <v>100</v>
      </c>
      <c r="Q27" s="11">
        <v>2813</v>
      </c>
      <c r="R27" s="98">
        <v>265</v>
      </c>
      <c r="S27" s="107"/>
      <c r="T27" s="128">
        <v>11500</v>
      </c>
      <c r="U27" s="109">
        <v>112000</v>
      </c>
      <c r="V27" s="100">
        <v>10000</v>
      </c>
      <c r="W27" s="552"/>
      <c r="X27" s="147">
        <v>2471</v>
      </c>
      <c r="Y27" s="140">
        <v>50</v>
      </c>
      <c r="Z27" s="52">
        <v>10</v>
      </c>
      <c r="AA27" s="52">
        <v>35</v>
      </c>
      <c r="AB27" s="53">
        <v>35</v>
      </c>
      <c r="AC27" s="149">
        <v>2285</v>
      </c>
      <c r="AD27" s="141">
        <v>1250</v>
      </c>
      <c r="AE27" s="3"/>
      <c r="AF27" s="40">
        <v>0</v>
      </c>
      <c r="AG27" s="41">
        <v>50</v>
      </c>
      <c r="AH27" s="41">
        <v>40</v>
      </c>
      <c r="AI27" s="42">
        <v>20</v>
      </c>
      <c r="AJ27" s="5">
        <f>Q27+X27+AC27</f>
        <v>7569</v>
      </c>
      <c r="AK27" s="103" t="str">
        <f t="shared" si="1"/>
        <v>~</v>
      </c>
      <c r="AL27" s="862">
        <v>1375</v>
      </c>
      <c r="AM27" s="101">
        <v>491.25</v>
      </c>
      <c r="AN27" s="111"/>
      <c r="AO27" s="146">
        <v>55</v>
      </c>
      <c r="AP27" s="179" t="s">
        <v>465</v>
      </c>
      <c r="AQ27" s="125">
        <v>225</v>
      </c>
      <c r="AR27" s="70">
        <v>0</v>
      </c>
      <c r="AS27" s="71">
        <v>0</v>
      </c>
      <c r="AT27" s="71">
        <v>16</v>
      </c>
      <c r="AU27" s="72">
        <v>0</v>
      </c>
      <c r="AV27" s="7">
        <v>140</v>
      </c>
      <c r="AW27" s="144">
        <v>180</v>
      </c>
      <c r="AX27" s="33">
        <v>0</v>
      </c>
      <c r="AY27" s="34">
        <v>0</v>
      </c>
      <c r="AZ27" s="34">
        <v>8</v>
      </c>
      <c r="BA27" s="84">
        <v>0</v>
      </c>
      <c r="BB27" s="598"/>
      <c r="BC27" s="596"/>
      <c r="BD27" s="553"/>
      <c r="BE27" s="596"/>
      <c r="BF27" s="596"/>
      <c r="BG27" s="596"/>
      <c r="BH27" s="596"/>
      <c r="BI27" s="596"/>
      <c r="BJ27" s="700" t="s">
        <v>1476</v>
      </c>
      <c r="BK27" s="310" t="s">
        <v>1149</v>
      </c>
      <c r="BL27" s="420" t="s">
        <v>668</v>
      </c>
      <c r="BM27" s="86" t="s">
        <v>424</v>
      </c>
      <c r="BN27" s="640"/>
      <c r="BO27" s="641"/>
      <c r="BP27" s="78" t="s">
        <v>463</v>
      </c>
      <c r="BQ27" s="76"/>
      <c r="BR27" s="77"/>
      <c r="BS27" s="641"/>
      <c r="BT27" s="78" t="s">
        <v>463</v>
      </c>
      <c r="BU27" s="76"/>
      <c r="BV27" s="77"/>
      <c r="BW27" s="641"/>
      <c r="BX27" s="78"/>
      <c r="BY27" s="94"/>
      <c r="BZ27" s="794" t="s">
        <v>704</v>
      </c>
      <c r="CA27" s="792" t="s">
        <v>1271</v>
      </c>
      <c r="CB27" s="608"/>
      <c r="CC27" s="613">
        <f>5*1.25</f>
        <v>6.25</v>
      </c>
      <c r="CD27" s="614">
        <v>6</v>
      </c>
      <c r="CE27" s="136" t="s">
        <v>1168</v>
      </c>
      <c r="CF27" s="546">
        <v>7400000</v>
      </c>
    </row>
    <row r="28" spans="1:84" ht="12.75">
      <c r="A28" s="115" t="s">
        <v>1467</v>
      </c>
      <c r="B28" s="117" t="s">
        <v>1084</v>
      </c>
      <c r="C28" s="797" t="s">
        <v>992</v>
      </c>
      <c r="D28" s="61">
        <v>50</v>
      </c>
      <c r="E28" s="119" t="s">
        <v>572</v>
      </c>
      <c r="F28" s="15">
        <v>4</v>
      </c>
      <c r="G28" s="18">
        <v>5</v>
      </c>
      <c r="H28" s="17">
        <v>6</v>
      </c>
      <c r="I28" s="754">
        <v>4</v>
      </c>
      <c r="J28" s="186">
        <v>4</v>
      </c>
      <c r="K28" s="192">
        <v>3</v>
      </c>
      <c r="L28" s="876">
        <v>380</v>
      </c>
      <c r="M28" s="890">
        <v>750</v>
      </c>
      <c r="N28" s="106">
        <v>350</v>
      </c>
      <c r="O28" s="454">
        <v>15</v>
      </c>
      <c r="P28" s="568">
        <v>15</v>
      </c>
      <c r="Q28" s="11">
        <v>2133</v>
      </c>
      <c r="R28" s="98">
        <v>250</v>
      </c>
      <c r="S28" s="99"/>
      <c r="T28" s="127">
        <v>10100</v>
      </c>
      <c r="U28" s="100">
        <v>101000</v>
      </c>
      <c r="V28" s="100">
        <v>10000</v>
      </c>
      <c r="W28" s="552"/>
      <c r="X28" s="147">
        <v>1860</v>
      </c>
      <c r="Y28" s="138">
        <v>50</v>
      </c>
      <c r="Z28" s="52">
        <v>10</v>
      </c>
      <c r="AA28" s="52">
        <v>25</v>
      </c>
      <c r="AB28" s="53">
        <v>45</v>
      </c>
      <c r="AC28" s="149">
        <v>3188</v>
      </c>
      <c r="AD28" s="141">
        <v>1250</v>
      </c>
      <c r="AF28" s="40">
        <v>0</v>
      </c>
      <c r="AG28" s="41">
        <v>50</v>
      </c>
      <c r="AH28" s="41">
        <v>40</v>
      </c>
      <c r="AI28" s="42">
        <v>20</v>
      </c>
      <c r="AJ28" s="5">
        <f t="shared" si="0"/>
        <v>7181</v>
      </c>
      <c r="AK28" s="103" t="str">
        <f t="shared" si="1"/>
        <v>S</v>
      </c>
      <c r="AL28" s="862">
        <v>1375</v>
      </c>
      <c r="AM28" s="101">
        <v>491.25</v>
      </c>
      <c r="AO28" s="146">
        <v>55</v>
      </c>
      <c r="AP28" s="179" t="s">
        <v>462</v>
      </c>
      <c r="AQ28" s="125">
        <v>220</v>
      </c>
      <c r="AR28" s="70">
        <v>0</v>
      </c>
      <c r="AS28" s="71">
        <v>18</v>
      </c>
      <c r="AT28" s="71">
        <v>0</v>
      </c>
      <c r="AU28" s="72">
        <v>0</v>
      </c>
      <c r="AV28" s="7">
        <v>135</v>
      </c>
      <c r="AW28" s="144">
        <v>175</v>
      </c>
      <c r="AX28" s="56">
        <v>0</v>
      </c>
      <c r="AY28" s="34">
        <v>7</v>
      </c>
      <c r="AZ28" s="34">
        <v>0</v>
      </c>
      <c r="BA28" s="84">
        <v>0</v>
      </c>
      <c r="BB28" s="596"/>
      <c r="BC28" s="596"/>
      <c r="BD28" s="553"/>
      <c r="BE28" s="596"/>
      <c r="BF28" s="596"/>
      <c r="BG28" s="596"/>
      <c r="BH28" s="596"/>
      <c r="BI28" s="596"/>
      <c r="BJ28" s="700" t="s">
        <v>1476</v>
      </c>
      <c r="BK28" s="310" t="s">
        <v>1671</v>
      </c>
      <c r="BL28" s="420" t="s">
        <v>587</v>
      </c>
      <c r="BM28" s="32" t="s">
        <v>522</v>
      </c>
      <c r="BN28" s="640"/>
      <c r="BO28" s="758" t="s">
        <v>463</v>
      </c>
      <c r="BP28" s="81" t="s">
        <v>463</v>
      </c>
      <c r="BQ28" s="76"/>
      <c r="BR28" s="77"/>
      <c r="BS28" s="758" t="s">
        <v>467</v>
      </c>
      <c r="BT28" s="81" t="s">
        <v>467</v>
      </c>
      <c r="BU28" s="76"/>
      <c r="BV28" s="77"/>
      <c r="BW28" s="641"/>
      <c r="BX28" s="78"/>
      <c r="BY28" s="94"/>
      <c r="BZ28" s="793" t="s">
        <v>703</v>
      </c>
      <c r="CA28" s="131" t="s">
        <v>1272</v>
      </c>
      <c r="CB28" s="608"/>
      <c r="CC28" s="613">
        <f>4*1.25+2</f>
        <v>7</v>
      </c>
      <c r="CD28" s="614">
        <f t="shared" si="2"/>
        <v>0.6</v>
      </c>
      <c r="CE28" s="135" t="s">
        <v>1169</v>
      </c>
      <c r="CF28" s="546">
        <v>8000000</v>
      </c>
    </row>
    <row r="29" spans="1:84" ht="12.75">
      <c r="A29" s="115" t="s">
        <v>1412</v>
      </c>
      <c r="B29" s="117" t="s">
        <v>1554</v>
      </c>
      <c r="C29" s="319" t="s">
        <v>99</v>
      </c>
      <c r="D29" s="61">
        <v>50</v>
      </c>
      <c r="E29" s="119" t="s">
        <v>572</v>
      </c>
      <c r="F29" s="15">
        <v>3</v>
      </c>
      <c r="G29" s="18">
        <v>4</v>
      </c>
      <c r="H29" s="17">
        <v>6</v>
      </c>
      <c r="I29" s="755">
        <v>3</v>
      </c>
      <c r="J29" s="186">
        <v>3</v>
      </c>
      <c r="K29" s="192">
        <v>3</v>
      </c>
      <c r="L29" s="876">
        <v>275</v>
      </c>
      <c r="M29" s="890">
        <v>745</v>
      </c>
      <c r="N29" s="106">
        <v>350</v>
      </c>
      <c r="O29" s="454">
        <v>25</v>
      </c>
      <c r="P29" s="568">
        <v>25</v>
      </c>
      <c r="Q29" s="11">
        <v>1220</v>
      </c>
      <c r="R29" s="98">
        <v>440</v>
      </c>
      <c r="S29" s="99"/>
      <c r="T29" s="127">
        <v>8750</v>
      </c>
      <c r="U29" s="100">
        <v>89000</v>
      </c>
      <c r="V29" s="100">
        <v>10000</v>
      </c>
      <c r="W29" s="552">
        <v>0.55</v>
      </c>
      <c r="X29" s="147">
        <v>1040</v>
      </c>
      <c r="Y29" s="138">
        <v>60</v>
      </c>
      <c r="Z29" s="52">
        <v>10</v>
      </c>
      <c r="AA29" s="52">
        <v>25</v>
      </c>
      <c r="AB29" s="53">
        <v>35</v>
      </c>
      <c r="AC29" s="149">
        <v>1400</v>
      </c>
      <c r="AD29" s="141">
        <v>1350</v>
      </c>
      <c r="AF29" s="40">
        <v>0</v>
      </c>
      <c r="AG29" s="41">
        <v>50</v>
      </c>
      <c r="AH29" s="41">
        <v>40</v>
      </c>
      <c r="AI29" s="42">
        <v>20</v>
      </c>
      <c r="AJ29" s="5">
        <f>Q29+X29+AC29</f>
        <v>3660</v>
      </c>
      <c r="AK29" s="103" t="str">
        <f t="shared" si="1"/>
        <v>S</v>
      </c>
      <c r="AL29" s="862">
        <v>1063</v>
      </c>
      <c r="AM29" s="101">
        <v>381.25</v>
      </c>
      <c r="AO29" s="146">
        <v>37</v>
      </c>
      <c r="AP29" s="179" t="s">
        <v>462</v>
      </c>
      <c r="AQ29" s="125">
        <v>300</v>
      </c>
      <c r="AR29" s="70">
        <v>0</v>
      </c>
      <c r="AS29" s="71">
        <v>0</v>
      </c>
      <c r="AT29" s="71">
        <v>0</v>
      </c>
      <c r="AU29" s="72">
        <v>13</v>
      </c>
      <c r="AV29" s="7">
        <v>90</v>
      </c>
      <c r="AW29" s="144">
        <v>270</v>
      </c>
      <c r="AX29" s="56">
        <v>0</v>
      </c>
      <c r="AY29" s="34">
        <v>0</v>
      </c>
      <c r="AZ29" s="34">
        <v>0</v>
      </c>
      <c r="BA29" s="84">
        <v>9</v>
      </c>
      <c r="BB29" s="596">
        <v>3</v>
      </c>
      <c r="BC29" s="596"/>
      <c r="BD29" s="553"/>
      <c r="BE29" s="596"/>
      <c r="BF29" s="596"/>
      <c r="BG29" s="596"/>
      <c r="BH29" s="596"/>
      <c r="BI29" s="596"/>
      <c r="BJ29" s="700" t="s">
        <v>1476</v>
      </c>
      <c r="BK29" s="310" t="s">
        <v>1671</v>
      </c>
      <c r="BL29" s="420" t="s">
        <v>510</v>
      </c>
      <c r="BM29" s="32" t="s">
        <v>1410</v>
      </c>
      <c r="BN29" s="640"/>
      <c r="BO29" s="641"/>
      <c r="BP29" s="78"/>
      <c r="BQ29" s="761" t="s">
        <v>463</v>
      </c>
      <c r="BR29" s="77"/>
      <c r="BS29" s="643"/>
      <c r="BT29" s="78"/>
      <c r="BU29" s="761" t="s">
        <v>175</v>
      </c>
      <c r="BV29" s="77"/>
      <c r="BW29" s="641"/>
      <c r="BX29" s="78"/>
      <c r="BY29" s="94"/>
      <c r="BZ29" s="793" t="s">
        <v>1411</v>
      </c>
      <c r="CA29" s="131">
        <v>29336</v>
      </c>
      <c r="CB29" s="608"/>
      <c r="CC29" s="613">
        <f>6*1.25</f>
        <v>7.5</v>
      </c>
      <c r="CD29" s="614">
        <f t="shared" si="2"/>
        <v>1</v>
      </c>
      <c r="CE29" s="136" t="s">
        <v>1170</v>
      </c>
      <c r="CF29" s="546"/>
    </row>
    <row r="30" spans="1:84" ht="12.75">
      <c r="A30" s="115" t="s">
        <v>1469</v>
      </c>
      <c r="B30" s="117" t="s">
        <v>1289</v>
      </c>
      <c r="C30" s="319" t="s">
        <v>99</v>
      </c>
      <c r="D30" s="61">
        <v>50</v>
      </c>
      <c r="E30" s="119" t="s">
        <v>572</v>
      </c>
      <c r="F30" s="15">
        <v>6</v>
      </c>
      <c r="G30" s="18">
        <v>4</v>
      </c>
      <c r="H30" s="17">
        <v>5</v>
      </c>
      <c r="I30" s="16">
        <v>3</v>
      </c>
      <c r="J30" s="186">
        <v>5</v>
      </c>
      <c r="K30" s="192">
        <v>3</v>
      </c>
      <c r="L30" s="876">
        <v>312</v>
      </c>
      <c r="M30" s="890">
        <v>950</v>
      </c>
      <c r="N30" s="106">
        <v>350</v>
      </c>
      <c r="O30" s="454">
        <v>40</v>
      </c>
      <c r="P30" s="568">
        <v>40</v>
      </c>
      <c r="Q30" s="11">
        <v>2344</v>
      </c>
      <c r="R30" s="98">
        <v>375</v>
      </c>
      <c r="S30" s="99"/>
      <c r="T30" s="127">
        <v>8000</v>
      </c>
      <c r="U30" s="100">
        <v>101000</v>
      </c>
      <c r="V30" s="100">
        <v>10000</v>
      </c>
      <c r="W30" s="552">
        <v>0.55</v>
      </c>
      <c r="X30" s="147">
        <v>2761</v>
      </c>
      <c r="Y30" s="138">
        <v>60</v>
      </c>
      <c r="Z30" s="52">
        <v>10</v>
      </c>
      <c r="AA30" s="52">
        <v>25</v>
      </c>
      <c r="AB30" s="53">
        <v>35</v>
      </c>
      <c r="AC30" s="149">
        <v>2044</v>
      </c>
      <c r="AD30" s="141">
        <v>1250</v>
      </c>
      <c r="AF30" s="40">
        <v>0</v>
      </c>
      <c r="AG30" s="41">
        <v>50</v>
      </c>
      <c r="AH30" s="41">
        <v>40</v>
      </c>
      <c r="AI30" s="42">
        <v>20</v>
      </c>
      <c r="AJ30" s="5">
        <f t="shared" si="0"/>
        <v>7149</v>
      </c>
      <c r="AK30" s="103" t="str">
        <f t="shared" si="1"/>
        <v>A</v>
      </c>
      <c r="AL30" s="862">
        <v>1250</v>
      </c>
      <c r="AM30" s="101">
        <v>428.25</v>
      </c>
      <c r="AO30" s="146">
        <v>40</v>
      </c>
      <c r="AP30" s="179" t="s">
        <v>465</v>
      </c>
      <c r="AQ30" s="125">
        <v>265</v>
      </c>
      <c r="AR30" s="70">
        <v>0</v>
      </c>
      <c r="AS30" s="71">
        <v>0</v>
      </c>
      <c r="AT30" s="71">
        <v>0</v>
      </c>
      <c r="AU30" s="72">
        <v>16</v>
      </c>
      <c r="AV30" s="7">
        <v>94</v>
      </c>
      <c r="AW30" s="144">
        <v>250</v>
      </c>
      <c r="AX30" s="56">
        <v>0</v>
      </c>
      <c r="AY30" s="34">
        <v>0</v>
      </c>
      <c r="AZ30" s="34">
        <v>0</v>
      </c>
      <c r="BA30" s="84">
        <v>9</v>
      </c>
      <c r="BB30" s="596">
        <v>3</v>
      </c>
      <c r="BC30" s="596"/>
      <c r="BD30" s="553"/>
      <c r="BE30" s="596"/>
      <c r="BF30" s="596"/>
      <c r="BG30" s="596"/>
      <c r="BH30" s="596"/>
      <c r="BI30" s="596"/>
      <c r="BJ30" s="700" t="s">
        <v>1476</v>
      </c>
      <c r="BK30" s="310" t="s">
        <v>136</v>
      </c>
      <c r="BL30" s="420" t="s">
        <v>633</v>
      </c>
      <c r="BM30" s="32" t="s">
        <v>712</v>
      </c>
      <c r="BN30" s="640"/>
      <c r="BO30" s="641"/>
      <c r="BP30" s="78"/>
      <c r="BQ30" s="82" t="s">
        <v>463</v>
      </c>
      <c r="BR30" s="77"/>
      <c r="BS30" s="643"/>
      <c r="BT30" s="78"/>
      <c r="BU30" s="82" t="s">
        <v>463</v>
      </c>
      <c r="BV30" s="77"/>
      <c r="BW30" s="641"/>
      <c r="BX30" s="78"/>
      <c r="BY30" s="94"/>
      <c r="BZ30" s="793" t="s">
        <v>1132</v>
      </c>
      <c r="CA30" s="131" t="s">
        <v>1273</v>
      </c>
      <c r="CB30" s="608"/>
      <c r="CC30" s="613">
        <f>5*1.25</f>
        <v>6.25</v>
      </c>
      <c r="CD30" s="614">
        <f t="shared" si="2"/>
        <v>1.6</v>
      </c>
      <c r="CE30" s="136">
        <v>26.5</v>
      </c>
      <c r="CF30" s="546">
        <v>8000000</v>
      </c>
    </row>
    <row r="31" spans="1:84" ht="12.75">
      <c r="A31" s="115" t="s">
        <v>1468</v>
      </c>
      <c r="B31" s="69" t="s">
        <v>1468</v>
      </c>
      <c r="C31" s="798" t="s">
        <v>993</v>
      </c>
      <c r="D31" s="61">
        <v>50</v>
      </c>
      <c r="E31" s="119" t="s">
        <v>572</v>
      </c>
      <c r="F31" s="15">
        <v>3</v>
      </c>
      <c r="G31" s="18">
        <v>6</v>
      </c>
      <c r="H31" s="17">
        <v>5</v>
      </c>
      <c r="I31" s="323">
        <v>0</v>
      </c>
      <c r="J31" s="186">
        <v>3</v>
      </c>
      <c r="K31" s="192">
        <v>3</v>
      </c>
      <c r="L31" s="876">
        <v>425</v>
      </c>
      <c r="M31" s="890">
        <v>925</v>
      </c>
      <c r="N31" s="106">
        <v>350</v>
      </c>
      <c r="O31" s="454">
        <v>15</v>
      </c>
      <c r="P31" s="568">
        <v>15</v>
      </c>
      <c r="Q31" s="11">
        <v>2285</v>
      </c>
      <c r="R31" s="98">
        <v>250</v>
      </c>
      <c r="S31" s="99"/>
      <c r="T31" s="127">
        <v>10100</v>
      </c>
      <c r="U31" s="100">
        <v>101000</v>
      </c>
      <c r="V31" s="100">
        <v>10000</v>
      </c>
      <c r="W31" s="552">
        <v>0.65</v>
      </c>
      <c r="X31" s="147">
        <v>2406</v>
      </c>
      <c r="Y31" s="138">
        <v>50</v>
      </c>
      <c r="Z31" s="52">
        <v>20</v>
      </c>
      <c r="AA31" s="52">
        <v>25</v>
      </c>
      <c r="AB31" s="53">
        <v>35</v>
      </c>
      <c r="AC31" s="149">
        <v>3188</v>
      </c>
      <c r="AD31" s="141">
        <v>2082</v>
      </c>
      <c r="AF31" s="40">
        <v>0</v>
      </c>
      <c r="AG31" s="41">
        <v>50</v>
      </c>
      <c r="AH31" s="41">
        <v>40</v>
      </c>
      <c r="AI31" s="42">
        <v>20</v>
      </c>
      <c r="AJ31" s="5">
        <f t="shared" si="0"/>
        <v>7879</v>
      </c>
      <c r="AK31" s="103" t="str">
        <f t="shared" si="1"/>
        <v>S</v>
      </c>
      <c r="AL31" s="862">
        <v>1500</v>
      </c>
      <c r="AM31" s="101">
        <v>491.25</v>
      </c>
      <c r="AO31" s="146">
        <v>55</v>
      </c>
      <c r="AP31" s="179" t="s">
        <v>462</v>
      </c>
      <c r="AQ31" s="125">
        <v>220</v>
      </c>
      <c r="AR31" s="70">
        <v>15</v>
      </c>
      <c r="AS31" s="71">
        <v>0</v>
      </c>
      <c r="AT31" s="71">
        <v>0</v>
      </c>
      <c r="AU31" s="72">
        <v>0</v>
      </c>
      <c r="AV31" s="7">
        <v>135</v>
      </c>
      <c r="AW31" s="144">
        <v>175</v>
      </c>
      <c r="AX31" s="56">
        <v>7</v>
      </c>
      <c r="AY31" s="34">
        <v>0</v>
      </c>
      <c r="AZ31" s="34">
        <v>0</v>
      </c>
      <c r="BA31" s="84">
        <v>0</v>
      </c>
      <c r="BB31" s="596"/>
      <c r="BC31" s="596"/>
      <c r="BD31" s="553"/>
      <c r="BE31" s="596"/>
      <c r="BF31" s="596"/>
      <c r="BG31" s="596"/>
      <c r="BH31" s="596"/>
      <c r="BI31" s="596"/>
      <c r="BJ31" s="700" t="s">
        <v>1476</v>
      </c>
      <c r="BK31" s="310" t="s">
        <v>136</v>
      </c>
      <c r="BL31" s="420" t="s">
        <v>1388</v>
      </c>
      <c r="BM31" s="32" t="s">
        <v>144</v>
      </c>
      <c r="BN31" s="757" t="s">
        <v>463</v>
      </c>
      <c r="BO31" s="758" t="s">
        <v>463</v>
      </c>
      <c r="BP31" s="78"/>
      <c r="BQ31" s="76"/>
      <c r="BR31" s="764" t="s">
        <v>467</v>
      </c>
      <c r="BS31" s="758" t="s">
        <v>467</v>
      </c>
      <c r="BT31" s="78"/>
      <c r="BU31" s="76"/>
      <c r="BV31" s="77"/>
      <c r="BW31" s="641"/>
      <c r="BX31" s="78"/>
      <c r="BY31" s="94"/>
      <c r="BZ31" s="793" t="s">
        <v>92</v>
      </c>
      <c r="CA31" s="131" t="s">
        <v>1274</v>
      </c>
      <c r="CB31" s="608"/>
      <c r="CC31" s="613">
        <f>6*1.25</f>
        <v>7.5</v>
      </c>
      <c r="CD31" s="614">
        <f t="shared" si="2"/>
        <v>0.6</v>
      </c>
      <c r="CE31" s="135" t="s">
        <v>1458</v>
      </c>
      <c r="CF31" s="546">
        <v>8000000</v>
      </c>
    </row>
    <row r="32" spans="1:84" ht="12.75">
      <c r="A32" s="115" t="s">
        <v>1470</v>
      </c>
      <c r="B32" s="117" t="s">
        <v>141</v>
      </c>
      <c r="C32" s="795" t="s">
        <v>930</v>
      </c>
      <c r="D32" s="61">
        <v>50</v>
      </c>
      <c r="E32" s="119" t="s">
        <v>572</v>
      </c>
      <c r="F32" s="15">
        <v>5</v>
      </c>
      <c r="G32" s="18">
        <v>4</v>
      </c>
      <c r="H32" s="17">
        <v>5</v>
      </c>
      <c r="I32" s="16">
        <v>1</v>
      </c>
      <c r="J32" s="186">
        <v>5</v>
      </c>
      <c r="K32" s="192">
        <v>3</v>
      </c>
      <c r="L32" s="876">
        <v>350</v>
      </c>
      <c r="M32" s="890">
        <v>820</v>
      </c>
      <c r="N32" s="106">
        <v>350</v>
      </c>
      <c r="O32" s="454">
        <v>50</v>
      </c>
      <c r="P32" s="568">
        <v>50</v>
      </c>
      <c r="Q32" s="11">
        <v>2625</v>
      </c>
      <c r="R32" s="98">
        <v>250</v>
      </c>
      <c r="S32" s="99"/>
      <c r="T32" s="127">
        <v>10100</v>
      </c>
      <c r="U32" s="100">
        <v>101000</v>
      </c>
      <c r="V32" s="100">
        <v>10000</v>
      </c>
      <c r="W32" s="552"/>
      <c r="X32" s="147">
        <v>2298</v>
      </c>
      <c r="Y32" s="138">
        <v>50</v>
      </c>
      <c r="Z32" s="52">
        <v>10</v>
      </c>
      <c r="AA32" s="52">
        <v>35</v>
      </c>
      <c r="AB32" s="53">
        <v>35</v>
      </c>
      <c r="AC32" s="149">
        <v>2133</v>
      </c>
      <c r="AD32" s="141">
        <v>1250</v>
      </c>
      <c r="AF32" s="40">
        <v>0</v>
      </c>
      <c r="AG32" s="41">
        <v>50</v>
      </c>
      <c r="AH32" s="41">
        <v>40</v>
      </c>
      <c r="AI32" s="42">
        <v>20</v>
      </c>
      <c r="AJ32" s="5">
        <f t="shared" si="0"/>
        <v>7056</v>
      </c>
      <c r="AK32" s="103" t="str">
        <f t="shared" si="1"/>
        <v>~</v>
      </c>
      <c r="AL32" s="908">
        <v>1545</v>
      </c>
      <c r="AM32" s="101">
        <v>491.25</v>
      </c>
      <c r="AO32" s="146">
        <v>55</v>
      </c>
      <c r="AP32" s="179" t="s">
        <v>462</v>
      </c>
      <c r="AQ32" s="125">
        <v>220</v>
      </c>
      <c r="AR32" s="70">
        <v>0</v>
      </c>
      <c r="AS32" s="71">
        <v>0</v>
      </c>
      <c r="AT32" s="71">
        <v>17</v>
      </c>
      <c r="AU32" s="72">
        <v>0</v>
      </c>
      <c r="AV32" s="7">
        <v>135</v>
      </c>
      <c r="AW32" s="910">
        <v>180</v>
      </c>
      <c r="AX32" s="56">
        <v>0</v>
      </c>
      <c r="AY32" s="34">
        <v>0</v>
      </c>
      <c r="AZ32" s="34">
        <v>8</v>
      </c>
      <c r="BA32" s="84">
        <v>0</v>
      </c>
      <c r="BB32" s="596"/>
      <c r="BC32" s="596"/>
      <c r="BD32" s="553"/>
      <c r="BE32" s="596"/>
      <c r="BF32" s="596"/>
      <c r="BG32" s="596"/>
      <c r="BH32" s="596"/>
      <c r="BI32" s="596"/>
      <c r="BJ32" s="700" t="s">
        <v>1476</v>
      </c>
      <c r="BK32" s="310" t="s">
        <v>136</v>
      </c>
      <c r="BL32" s="420" t="s">
        <v>678</v>
      </c>
      <c r="BM32" s="32" t="s">
        <v>579</v>
      </c>
      <c r="BN32" s="640"/>
      <c r="BO32" s="641"/>
      <c r="BP32" s="763" t="s">
        <v>463</v>
      </c>
      <c r="BQ32" s="759" t="s">
        <v>463</v>
      </c>
      <c r="BR32" s="77"/>
      <c r="BS32" s="641"/>
      <c r="BT32" s="763" t="s">
        <v>467</v>
      </c>
      <c r="BU32" s="759" t="s">
        <v>467</v>
      </c>
      <c r="BV32" s="77"/>
      <c r="BW32" s="641"/>
      <c r="BX32" s="78"/>
      <c r="BY32" s="94"/>
      <c r="BZ32" s="793" t="s">
        <v>1135</v>
      </c>
      <c r="CA32" s="131" t="s">
        <v>1275</v>
      </c>
      <c r="CB32" s="608"/>
      <c r="CC32" s="613">
        <f>5*1.25</f>
        <v>6.25</v>
      </c>
      <c r="CD32" s="614">
        <f t="shared" si="2"/>
        <v>2</v>
      </c>
      <c r="CE32" s="136" t="s">
        <v>1459</v>
      </c>
      <c r="CF32" s="546">
        <v>8000000</v>
      </c>
    </row>
    <row r="33" spans="1:84" ht="12.75">
      <c r="A33" s="115" t="s">
        <v>487</v>
      </c>
      <c r="B33" s="117" t="s">
        <v>1298</v>
      </c>
      <c r="C33" s="308" t="s">
        <v>827</v>
      </c>
      <c r="D33" s="62">
        <v>35</v>
      </c>
      <c r="E33" s="120" t="s">
        <v>1140</v>
      </c>
      <c r="F33" s="15">
        <v>5</v>
      </c>
      <c r="G33" s="18">
        <v>2</v>
      </c>
      <c r="H33" s="17">
        <v>4</v>
      </c>
      <c r="I33" s="16">
        <v>0</v>
      </c>
      <c r="J33" s="186">
        <v>3</v>
      </c>
      <c r="K33" s="192">
        <v>3</v>
      </c>
      <c r="L33" s="876">
        <v>125</v>
      </c>
      <c r="M33" s="890">
        <v>47</v>
      </c>
      <c r="N33" s="106">
        <v>350</v>
      </c>
      <c r="O33" s="454">
        <v>0</v>
      </c>
      <c r="P33" s="568">
        <v>0</v>
      </c>
      <c r="Q33" s="11">
        <v>586</v>
      </c>
      <c r="R33" s="98">
        <v>130</v>
      </c>
      <c r="S33" s="99"/>
      <c r="T33" s="127">
        <v>1300</v>
      </c>
      <c r="U33" s="100">
        <v>16500</v>
      </c>
      <c r="V33" s="100">
        <v>2500</v>
      </c>
      <c r="W33" s="552"/>
      <c r="X33" s="147">
        <v>704</v>
      </c>
      <c r="Y33" s="138">
        <v>50</v>
      </c>
      <c r="Z33" s="52">
        <v>20</v>
      </c>
      <c r="AA33" s="52">
        <v>25</v>
      </c>
      <c r="AB33" s="53">
        <v>35</v>
      </c>
      <c r="AC33" s="149">
        <v>586</v>
      </c>
      <c r="AD33" s="141">
        <v>625</v>
      </c>
      <c r="AF33" s="40">
        <v>0</v>
      </c>
      <c r="AG33" s="41">
        <v>50</v>
      </c>
      <c r="AH33" s="41">
        <v>40</v>
      </c>
      <c r="AI33" s="42">
        <v>20</v>
      </c>
      <c r="AJ33" s="5">
        <f t="shared" si="0"/>
        <v>1876</v>
      </c>
      <c r="AK33" s="103" t="str">
        <f>IF($X33=$AC33,"=",IF(MAX($AC33,$X33)*0.1&gt;ABS($X33-$AC33),"~",IF(MAX($AC33,$X33)=$X33,"A","S")))</f>
        <v>A</v>
      </c>
      <c r="AL33" s="862">
        <v>375</v>
      </c>
      <c r="AM33" s="101">
        <v>234.38</v>
      </c>
      <c r="AO33" s="146">
        <v>31</v>
      </c>
      <c r="AP33" s="179" t="s">
        <v>463</v>
      </c>
      <c r="AQ33" s="125">
        <v>550</v>
      </c>
      <c r="AR33" s="70">
        <v>10</v>
      </c>
      <c r="AS33" s="71">
        <v>0</v>
      </c>
      <c r="AT33" s="71">
        <v>0</v>
      </c>
      <c r="AU33" s="72">
        <v>0</v>
      </c>
      <c r="AV33" s="7">
        <v>38</v>
      </c>
      <c r="AW33" s="144">
        <v>250</v>
      </c>
      <c r="AX33" s="56">
        <v>6</v>
      </c>
      <c r="AY33" s="34">
        <v>0</v>
      </c>
      <c r="AZ33" s="34">
        <v>0</v>
      </c>
      <c r="BA33" s="84">
        <v>0</v>
      </c>
      <c r="BB33" s="596"/>
      <c r="BC33" s="596"/>
      <c r="BD33" s="553"/>
      <c r="BE33" s="596"/>
      <c r="BF33" s="596"/>
      <c r="BG33" s="596"/>
      <c r="BH33" s="596"/>
      <c r="BI33" s="596"/>
      <c r="BJ33" s="700" t="s">
        <v>1476</v>
      </c>
      <c r="BK33" s="310" t="s">
        <v>136</v>
      </c>
      <c r="BL33" s="420" t="s">
        <v>1094</v>
      </c>
      <c r="BM33" s="32" t="s">
        <v>271</v>
      </c>
      <c r="BN33" s="762" t="s">
        <v>175</v>
      </c>
      <c r="BO33" s="643"/>
      <c r="BP33" s="78"/>
      <c r="BQ33" s="76"/>
      <c r="BR33" s="77"/>
      <c r="BS33" s="641"/>
      <c r="BT33" s="78"/>
      <c r="BU33" s="76"/>
      <c r="BV33" s="77"/>
      <c r="BW33" s="641"/>
      <c r="BX33" s="78"/>
      <c r="BY33" s="94"/>
      <c r="BZ33" s="793" t="s">
        <v>92</v>
      </c>
      <c r="CA33" s="131" t="s">
        <v>1276</v>
      </c>
      <c r="CB33" s="608"/>
      <c r="CC33" s="613">
        <f>3*1.25</f>
        <v>3.75</v>
      </c>
      <c r="CD33" s="614">
        <f t="shared" si="2"/>
        <v>0</v>
      </c>
      <c r="CE33" s="135" t="s">
        <v>1460</v>
      </c>
      <c r="CF33" s="546">
        <v>285000</v>
      </c>
    </row>
    <row r="34" spans="1:84" ht="12.75">
      <c r="A34" s="115" t="s">
        <v>630</v>
      </c>
      <c r="B34" s="69" t="s">
        <v>471</v>
      </c>
      <c r="C34" s="308" t="s">
        <v>827</v>
      </c>
      <c r="D34" s="62">
        <v>35</v>
      </c>
      <c r="E34" s="120" t="s">
        <v>1140</v>
      </c>
      <c r="F34" s="15">
        <v>5</v>
      </c>
      <c r="G34" s="18">
        <v>4</v>
      </c>
      <c r="H34" s="17">
        <v>4</v>
      </c>
      <c r="I34" s="16">
        <v>0</v>
      </c>
      <c r="J34" s="186">
        <v>3</v>
      </c>
      <c r="K34" s="192">
        <v>3</v>
      </c>
      <c r="L34" s="876">
        <v>225</v>
      </c>
      <c r="M34" s="890">
        <v>65</v>
      </c>
      <c r="N34" s="106">
        <v>350</v>
      </c>
      <c r="O34" s="454">
        <v>0</v>
      </c>
      <c r="P34" s="568">
        <v>0</v>
      </c>
      <c r="Q34" s="177">
        <v>781</v>
      </c>
      <c r="R34" s="98">
        <v>135</v>
      </c>
      <c r="S34" s="99"/>
      <c r="T34" s="127">
        <v>1000</v>
      </c>
      <c r="U34" s="100">
        <v>28100</v>
      </c>
      <c r="V34" s="100">
        <v>2500</v>
      </c>
      <c r="W34" s="552">
        <v>3.1</v>
      </c>
      <c r="X34" s="147">
        <v>976</v>
      </c>
      <c r="Y34" s="51">
        <v>50</v>
      </c>
      <c r="Z34" s="52">
        <v>20</v>
      </c>
      <c r="AA34" s="52">
        <v>25</v>
      </c>
      <c r="AB34" s="53">
        <v>35</v>
      </c>
      <c r="AC34" s="149">
        <v>704</v>
      </c>
      <c r="AD34" s="141">
        <v>625</v>
      </c>
      <c r="AF34" s="40">
        <v>0</v>
      </c>
      <c r="AG34" s="41">
        <v>50</v>
      </c>
      <c r="AH34" s="41">
        <v>40</v>
      </c>
      <c r="AI34" s="42">
        <v>20</v>
      </c>
      <c r="AJ34" s="5">
        <f t="shared" si="0"/>
        <v>2461</v>
      </c>
      <c r="AK34" s="103" t="str">
        <f t="shared" si="1"/>
        <v>A</v>
      </c>
      <c r="AL34" s="862">
        <v>781</v>
      </c>
      <c r="AM34" s="101">
        <v>450</v>
      </c>
      <c r="AO34" s="146">
        <v>40</v>
      </c>
      <c r="AP34" s="179" t="s">
        <v>1267</v>
      </c>
      <c r="AQ34" s="125">
        <v>700</v>
      </c>
      <c r="AR34" s="70">
        <v>15</v>
      </c>
      <c r="AS34" s="71">
        <v>0</v>
      </c>
      <c r="AT34" s="71">
        <v>0</v>
      </c>
      <c r="AU34" s="72">
        <v>0</v>
      </c>
      <c r="AV34" s="7">
        <v>30</v>
      </c>
      <c r="AW34" s="144">
        <v>450</v>
      </c>
      <c r="AX34" s="56">
        <v>6</v>
      </c>
      <c r="AY34" s="34">
        <v>0</v>
      </c>
      <c r="AZ34" s="34">
        <v>0</v>
      </c>
      <c r="BA34" s="84">
        <v>0</v>
      </c>
      <c r="BB34" s="596">
        <v>6</v>
      </c>
      <c r="BC34" s="596"/>
      <c r="BD34" s="553"/>
      <c r="BE34" s="596"/>
      <c r="BF34" s="596"/>
      <c r="BG34" s="596"/>
      <c r="BH34" s="596"/>
      <c r="BI34" s="596"/>
      <c r="BJ34" s="700" t="s">
        <v>1476</v>
      </c>
      <c r="BK34" s="310" t="s">
        <v>136</v>
      </c>
      <c r="BL34" s="420" t="s">
        <v>1287</v>
      </c>
      <c r="BM34" s="32" t="s">
        <v>1199</v>
      </c>
      <c r="BN34" s="640" t="s">
        <v>1267</v>
      </c>
      <c r="BO34" s="643"/>
      <c r="BP34" s="78"/>
      <c r="BQ34" s="76"/>
      <c r="BR34" s="77"/>
      <c r="BS34" s="641"/>
      <c r="BT34" s="78"/>
      <c r="BU34" s="76"/>
      <c r="BV34" s="77"/>
      <c r="BW34" s="641"/>
      <c r="BX34" s="78"/>
      <c r="BY34" s="94"/>
      <c r="BZ34" s="793" t="s">
        <v>92</v>
      </c>
      <c r="CA34" s="131">
        <v>11940</v>
      </c>
      <c r="CB34" s="608"/>
      <c r="CC34" s="613">
        <f>3*1.25</f>
        <v>3.75</v>
      </c>
      <c r="CD34" s="614">
        <f t="shared" si="2"/>
        <v>0</v>
      </c>
      <c r="CE34" s="136" t="s">
        <v>1461</v>
      </c>
      <c r="CF34" s="577" t="s">
        <v>246</v>
      </c>
    </row>
    <row r="35" spans="1:84" ht="12.75">
      <c r="A35" s="115" t="s">
        <v>443</v>
      </c>
      <c r="B35" s="69" t="s">
        <v>471</v>
      </c>
      <c r="C35" s="308" t="s">
        <v>827</v>
      </c>
      <c r="D35" s="62">
        <v>35</v>
      </c>
      <c r="E35" s="120" t="s">
        <v>1140</v>
      </c>
      <c r="F35" s="15">
        <v>4</v>
      </c>
      <c r="G35" s="18">
        <v>4</v>
      </c>
      <c r="H35" s="17">
        <v>4</v>
      </c>
      <c r="I35" s="16">
        <v>0</v>
      </c>
      <c r="J35" s="186">
        <v>3</v>
      </c>
      <c r="K35" s="192">
        <v>3</v>
      </c>
      <c r="L35" s="876">
        <v>200</v>
      </c>
      <c r="M35" s="890">
        <v>60</v>
      </c>
      <c r="N35" s="106">
        <v>350</v>
      </c>
      <c r="O35" s="454">
        <v>0</v>
      </c>
      <c r="P35" s="568">
        <v>0</v>
      </c>
      <c r="Q35" s="177">
        <v>664</v>
      </c>
      <c r="R35" s="98">
        <v>100</v>
      </c>
      <c r="S35" s="99"/>
      <c r="T35" s="127">
        <v>1000</v>
      </c>
      <c r="U35" s="100">
        <v>28100</v>
      </c>
      <c r="V35" s="100">
        <v>2500</v>
      </c>
      <c r="W35" s="552">
        <v>3.1</v>
      </c>
      <c r="X35" s="147">
        <v>704</v>
      </c>
      <c r="Y35" s="51">
        <v>50</v>
      </c>
      <c r="Z35" s="52">
        <v>20</v>
      </c>
      <c r="AA35" s="52">
        <v>25</v>
      </c>
      <c r="AB35" s="53">
        <v>35</v>
      </c>
      <c r="AC35" s="149">
        <v>508</v>
      </c>
      <c r="AD35" s="141">
        <v>625</v>
      </c>
      <c r="AF35" s="40">
        <v>0</v>
      </c>
      <c r="AG35" s="41">
        <v>50</v>
      </c>
      <c r="AH35" s="41">
        <v>40</v>
      </c>
      <c r="AI35" s="42">
        <v>20</v>
      </c>
      <c r="AJ35" s="5">
        <f t="shared" si="0"/>
        <v>1876</v>
      </c>
      <c r="AK35" s="103" t="str">
        <f t="shared" si="1"/>
        <v>A</v>
      </c>
      <c r="AL35" s="862">
        <v>562</v>
      </c>
      <c r="AM35" s="101">
        <v>350</v>
      </c>
      <c r="AO35" s="146">
        <v>37</v>
      </c>
      <c r="AP35" s="179" t="s">
        <v>1267</v>
      </c>
      <c r="AQ35" s="125">
        <v>675</v>
      </c>
      <c r="AR35" s="70">
        <v>13</v>
      </c>
      <c r="AS35" s="71">
        <v>0</v>
      </c>
      <c r="AT35" s="71">
        <v>0</v>
      </c>
      <c r="AU35" s="72">
        <v>0</v>
      </c>
      <c r="AV35" s="7">
        <v>30</v>
      </c>
      <c r="AW35" s="144">
        <v>525</v>
      </c>
      <c r="AX35" s="56">
        <v>6</v>
      </c>
      <c r="AY35" s="34">
        <v>0</v>
      </c>
      <c r="AZ35" s="34">
        <v>0</v>
      </c>
      <c r="BA35" s="84">
        <v>0</v>
      </c>
      <c r="BB35" s="596">
        <v>6</v>
      </c>
      <c r="BC35" s="596"/>
      <c r="BD35" s="553"/>
      <c r="BE35" s="596"/>
      <c r="BF35" s="596"/>
      <c r="BG35" s="596"/>
      <c r="BH35" s="596"/>
      <c r="BI35" s="596"/>
      <c r="BJ35" s="700" t="s">
        <v>1476</v>
      </c>
      <c r="BK35" s="310" t="s">
        <v>136</v>
      </c>
      <c r="BL35" s="420" t="s">
        <v>1287</v>
      </c>
      <c r="BM35" s="32" t="s">
        <v>1281</v>
      </c>
      <c r="BN35" s="635" t="s">
        <v>463</v>
      </c>
      <c r="BO35" s="643"/>
      <c r="BP35" s="78"/>
      <c r="BQ35" s="76"/>
      <c r="BR35" s="77"/>
      <c r="BS35" s="641"/>
      <c r="BT35" s="78"/>
      <c r="BU35" s="76"/>
      <c r="BV35" s="77"/>
      <c r="BW35" s="641"/>
      <c r="BX35" s="78"/>
      <c r="BY35" s="94"/>
      <c r="BZ35" s="793" t="s">
        <v>92</v>
      </c>
      <c r="CA35" s="131">
        <v>11942</v>
      </c>
      <c r="CB35" s="608"/>
      <c r="CC35" s="613">
        <f>3*1.25</f>
        <v>3.75</v>
      </c>
      <c r="CD35" s="614">
        <f t="shared" si="2"/>
        <v>0</v>
      </c>
      <c r="CE35" s="135" t="s">
        <v>1462</v>
      </c>
      <c r="CF35" s="546">
        <v>285000</v>
      </c>
    </row>
    <row r="36" spans="1:84" ht="12.75">
      <c r="A36" s="115" t="s">
        <v>1544</v>
      </c>
      <c r="B36" s="69" t="s">
        <v>1544</v>
      </c>
      <c r="C36" s="795" t="s">
        <v>994</v>
      </c>
      <c r="D36" s="62">
        <v>35</v>
      </c>
      <c r="E36" s="120" t="s">
        <v>1140</v>
      </c>
      <c r="F36" s="15">
        <v>3</v>
      </c>
      <c r="G36" s="18">
        <v>4</v>
      </c>
      <c r="H36" s="17">
        <v>4</v>
      </c>
      <c r="I36" s="16">
        <v>2</v>
      </c>
      <c r="J36" s="186">
        <v>2</v>
      </c>
      <c r="K36" s="192">
        <v>3</v>
      </c>
      <c r="L36" s="876">
        <v>125</v>
      </c>
      <c r="M36" s="890">
        <v>35</v>
      </c>
      <c r="N36" s="106">
        <v>350</v>
      </c>
      <c r="O36" s="454">
        <v>5</v>
      </c>
      <c r="P36" s="568">
        <v>5</v>
      </c>
      <c r="Q36" s="11">
        <v>536</v>
      </c>
      <c r="R36" s="98">
        <v>140</v>
      </c>
      <c r="S36" s="99"/>
      <c r="T36" s="127">
        <v>900</v>
      </c>
      <c r="U36" s="100">
        <v>26500</v>
      </c>
      <c r="V36" s="100">
        <v>2500</v>
      </c>
      <c r="W36" s="552"/>
      <c r="X36" s="147">
        <v>601</v>
      </c>
      <c r="Y36" s="138">
        <v>50</v>
      </c>
      <c r="Z36" s="52">
        <v>10</v>
      </c>
      <c r="AA36" s="52">
        <v>35</v>
      </c>
      <c r="AB36" s="53">
        <v>35</v>
      </c>
      <c r="AC36" s="149">
        <v>549</v>
      </c>
      <c r="AD36" s="141">
        <v>625</v>
      </c>
      <c r="AF36" s="40">
        <v>0</v>
      </c>
      <c r="AG36" s="41">
        <v>50</v>
      </c>
      <c r="AH36" s="41">
        <v>40</v>
      </c>
      <c r="AI36" s="42">
        <v>20</v>
      </c>
      <c r="AJ36" s="5">
        <f t="shared" si="0"/>
        <v>1686</v>
      </c>
      <c r="AK36" s="103" t="str">
        <f t="shared" si="1"/>
        <v>~</v>
      </c>
      <c r="AL36" s="908">
        <v>395</v>
      </c>
      <c r="AM36" s="101">
        <v>234.38</v>
      </c>
      <c r="AO36" s="146">
        <v>27</v>
      </c>
      <c r="AP36" s="179" t="s">
        <v>1267</v>
      </c>
      <c r="AQ36" s="125">
        <v>590</v>
      </c>
      <c r="AR36" s="70">
        <v>0</v>
      </c>
      <c r="AS36" s="71">
        <v>0</v>
      </c>
      <c r="AT36" s="71">
        <v>9</v>
      </c>
      <c r="AU36" s="72">
        <v>0</v>
      </c>
      <c r="AV36" s="7">
        <v>42</v>
      </c>
      <c r="AW36" s="910">
        <v>245</v>
      </c>
      <c r="AX36" s="56">
        <v>0</v>
      </c>
      <c r="AY36" s="34">
        <v>0</v>
      </c>
      <c r="AZ36" s="34">
        <v>0</v>
      </c>
      <c r="BA36" s="84">
        <v>7</v>
      </c>
      <c r="BB36" s="596"/>
      <c r="BC36" s="596"/>
      <c r="BD36" s="553"/>
      <c r="BE36" s="596"/>
      <c r="BF36" s="596"/>
      <c r="BG36" s="596"/>
      <c r="BH36" s="596"/>
      <c r="BI36" s="596"/>
      <c r="BJ36" s="700" t="s">
        <v>1476</v>
      </c>
      <c r="BK36" s="310" t="s">
        <v>136</v>
      </c>
      <c r="BL36" s="420" t="s">
        <v>1113</v>
      </c>
      <c r="BM36" s="32" t="s">
        <v>1103</v>
      </c>
      <c r="BN36" s="640"/>
      <c r="BO36" s="641"/>
      <c r="BP36" s="760" t="s">
        <v>175</v>
      </c>
      <c r="BQ36" s="761" t="s">
        <v>175</v>
      </c>
      <c r="BR36" s="77"/>
      <c r="BS36" s="643"/>
      <c r="BT36" s="78"/>
      <c r="BU36" s="76"/>
      <c r="BV36" s="77"/>
      <c r="BW36" s="641"/>
      <c r="BX36" s="78"/>
      <c r="BY36" s="94"/>
      <c r="BZ36" s="793" t="s">
        <v>1135</v>
      </c>
      <c r="CA36" s="131" t="s">
        <v>1277</v>
      </c>
      <c r="CB36" s="608"/>
      <c r="CC36" s="613">
        <f>2*1.25+2</f>
        <v>4.5</v>
      </c>
      <c r="CD36" s="614">
        <f t="shared" si="2"/>
        <v>0.2</v>
      </c>
      <c r="CE36" s="136" t="s">
        <v>1463</v>
      </c>
      <c r="CF36" s="546">
        <v>282500</v>
      </c>
    </row>
    <row r="37" spans="1:84" ht="12.75">
      <c r="A37" s="115" t="s">
        <v>1545</v>
      </c>
      <c r="B37" s="69" t="s">
        <v>1545</v>
      </c>
      <c r="C37" s="795" t="s">
        <v>994</v>
      </c>
      <c r="D37" s="62">
        <v>35</v>
      </c>
      <c r="E37" s="120" t="s">
        <v>1140</v>
      </c>
      <c r="F37" s="15">
        <v>3</v>
      </c>
      <c r="G37" s="18">
        <v>2</v>
      </c>
      <c r="H37" s="17">
        <v>5</v>
      </c>
      <c r="I37" s="16">
        <v>3</v>
      </c>
      <c r="J37" s="186">
        <v>2</v>
      </c>
      <c r="K37" s="192">
        <v>3</v>
      </c>
      <c r="L37" s="876">
        <v>125</v>
      </c>
      <c r="M37" s="890">
        <v>35</v>
      </c>
      <c r="N37" s="106">
        <v>350</v>
      </c>
      <c r="O37" s="454">
        <v>0</v>
      </c>
      <c r="P37" s="568">
        <v>0</v>
      </c>
      <c r="Q37" s="11">
        <v>470</v>
      </c>
      <c r="R37" s="98">
        <v>130</v>
      </c>
      <c r="S37" s="99"/>
      <c r="T37" s="127">
        <v>1200</v>
      </c>
      <c r="U37" s="100">
        <v>27289</v>
      </c>
      <c r="V37" s="100">
        <v>2500</v>
      </c>
      <c r="W37" s="552"/>
      <c r="X37" s="147">
        <v>493</v>
      </c>
      <c r="Y37" s="138">
        <v>60</v>
      </c>
      <c r="Z37" s="52">
        <v>10</v>
      </c>
      <c r="AA37" s="52">
        <v>25</v>
      </c>
      <c r="AB37" s="53">
        <v>35</v>
      </c>
      <c r="AC37" s="149">
        <v>548</v>
      </c>
      <c r="AD37" s="141">
        <v>625</v>
      </c>
      <c r="AF37" s="40">
        <v>0</v>
      </c>
      <c r="AG37" s="41">
        <v>50</v>
      </c>
      <c r="AH37" s="41">
        <v>40</v>
      </c>
      <c r="AI37" s="42">
        <v>20</v>
      </c>
      <c r="AJ37" s="5">
        <f t="shared" si="0"/>
        <v>1511</v>
      </c>
      <c r="AK37" s="103" t="str">
        <f t="shared" si="1"/>
        <v>S</v>
      </c>
      <c r="AL37" s="862">
        <v>312</v>
      </c>
      <c r="AM37" s="101">
        <v>234.38</v>
      </c>
      <c r="AO37" s="146">
        <v>22</v>
      </c>
      <c r="AP37" s="179" t="s">
        <v>463</v>
      </c>
      <c r="AQ37" s="125">
        <v>660</v>
      </c>
      <c r="AR37" s="70">
        <v>0</v>
      </c>
      <c r="AS37" s="71">
        <v>0</v>
      </c>
      <c r="AT37" s="114">
        <v>0</v>
      </c>
      <c r="AU37" s="72">
        <v>12</v>
      </c>
      <c r="AV37" s="7">
        <v>35</v>
      </c>
      <c r="AW37" s="144">
        <v>360</v>
      </c>
      <c r="AX37" s="56">
        <v>0</v>
      </c>
      <c r="AY37" s="34">
        <v>0</v>
      </c>
      <c r="AZ37" s="34">
        <v>6</v>
      </c>
      <c r="BA37" s="84">
        <v>0</v>
      </c>
      <c r="BB37" s="596"/>
      <c r="BC37" s="596"/>
      <c r="BD37" s="553"/>
      <c r="BE37" s="596"/>
      <c r="BF37" s="596"/>
      <c r="BG37" s="596"/>
      <c r="BH37" s="596"/>
      <c r="BI37" s="596"/>
      <c r="BJ37" s="700" t="s">
        <v>1476</v>
      </c>
      <c r="BK37" s="310" t="s">
        <v>136</v>
      </c>
      <c r="BL37" s="420" t="s">
        <v>869</v>
      </c>
      <c r="BM37" s="32" t="s">
        <v>937</v>
      </c>
      <c r="BN37" s="640"/>
      <c r="BO37" s="641"/>
      <c r="BP37" s="81" t="s">
        <v>175</v>
      </c>
      <c r="BQ37" s="76" t="s">
        <v>175</v>
      </c>
      <c r="BR37" s="77"/>
      <c r="BS37" s="641"/>
      <c r="BT37" s="78"/>
      <c r="BU37" s="76"/>
      <c r="BV37" s="77"/>
      <c r="BW37" s="641"/>
      <c r="BX37" s="78"/>
      <c r="BY37" s="94"/>
      <c r="BZ37" s="793" t="s">
        <v>1132</v>
      </c>
      <c r="CA37" s="131" t="s">
        <v>1278</v>
      </c>
      <c r="CB37" s="608"/>
      <c r="CC37" s="613">
        <f>2*1.5+2</f>
        <v>5</v>
      </c>
      <c r="CD37" s="614">
        <f t="shared" si="2"/>
        <v>0</v>
      </c>
      <c r="CE37" s="135" t="s">
        <v>1464</v>
      </c>
      <c r="CF37" s="546">
        <v>280000</v>
      </c>
    </row>
    <row r="38" spans="1:84" ht="12.75">
      <c r="A38" s="115" t="s">
        <v>1543</v>
      </c>
      <c r="B38" s="69" t="s">
        <v>1543</v>
      </c>
      <c r="C38" s="796" t="s">
        <v>929</v>
      </c>
      <c r="D38" s="62">
        <v>35</v>
      </c>
      <c r="E38" s="120" t="s">
        <v>1140</v>
      </c>
      <c r="F38" s="15">
        <v>4</v>
      </c>
      <c r="G38" s="739">
        <v>2</v>
      </c>
      <c r="H38" s="732">
        <v>5</v>
      </c>
      <c r="I38" s="16">
        <v>1</v>
      </c>
      <c r="J38" s="186">
        <v>2</v>
      </c>
      <c r="K38" s="192">
        <v>3</v>
      </c>
      <c r="L38" s="876">
        <v>125</v>
      </c>
      <c r="M38" s="890">
        <v>42</v>
      </c>
      <c r="N38" s="106">
        <v>350</v>
      </c>
      <c r="O38" s="454">
        <v>0</v>
      </c>
      <c r="P38" s="568">
        <v>0</v>
      </c>
      <c r="Q38" s="11">
        <v>548</v>
      </c>
      <c r="R38" s="98">
        <v>135</v>
      </c>
      <c r="S38" s="99"/>
      <c r="T38" s="127">
        <v>1300</v>
      </c>
      <c r="U38" s="100">
        <v>28600</v>
      </c>
      <c r="V38" s="100">
        <v>2500</v>
      </c>
      <c r="W38" s="552"/>
      <c r="X38" s="147">
        <v>656</v>
      </c>
      <c r="Y38" s="138">
        <v>50</v>
      </c>
      <c r="Z38" s="52">
        <v>20</v>
      </c>
      <c r="AA38" s="52">
        <v>25</v>
      </c>
      <c r="AB38" s="53">
        <v>35</v>
      </c>
      <c r="AC38" s="149">
        <v>548</v>
      </c>
      <c r="AD38" s="141">
        <v>625</v>
      </c>
      <c r="AF38" s="40">
        <v>0</v>
      </c>
      <c r="AG38" s="41">
        <v>50</v>
      </c>
      <c r="AH38" s="41">
        <v>40</v>
      </c>
      <c r="AI38" s="42">
        <v>20</v>
      </c>
      <c r="AJ38" s="5">
        <f t="shared" si="0"/>
        <v>1752</v>
      </c>
      <c r="AK38" s="103" t="str">
        <f t="shared" si="1"/>
        <v>A</v>
      </c>
      <c r="AL38" s="862">
        <v>461</v>
      </c>
      <c r="AM38" s="101">
        <v>234.38</v>
      </c>
      <c r="AO38" s="146">
        <v>25</v>
      </c>
      <c r="AP38" s="179" t="s">
        <v>1267</v>
      </c>
      <c r="AQ38" s="125">
        <v>610</v>
      </c>
      <c r="AR38" s="70">
        <v>12</v>
      </c>
      <c r="AS38" s="71">
        <v>0</v>
      </c>
      <c r="AT38" s="71">
        <v>0</v>
      </c>
      <c r="AU38" s="72">
        <v>0</v>
      </c>
      <c r="AV38" s="7">
        <v>38</v>
      </c>
      <c r="AW38" s="144">
        <v>250</v>
      </c>
      <c r="AX38" s="56">
        <v>6</v>
      </c>
      <c r="AY38" s="34">
        <v>0</v>
      </c>
      <c r="AZ38" s="34">
        <v>0</v>
      </c>
      <c r="BA38" s="84">
        <v>0</v>
      </c>
      <c r="BB38" s="596"/>
      <c r="BC38" s="596"/>
      <c r="BD38" s="553"/>
      <c r="BE38" s="596"/>
      <c r="BF38" s="596"/>
      <c r="BG38" s="596"/>
      <c r="BH38" s="596"/>
      <c r="BI38" s="596"/>
      <c r="BJ38" s="700" t="s">
        <v>1476</v>
      </c>
      <c r="BK38" s="310" t="s">
        <v>136</v>
      </c>
      <c r="BL38" s="420" t="s">
        <v>822</v>
      </c>
      <c r="BM38" s="32" t="s">
        <v>91</v>
      </c>
      <c r="BN38" s="757" t="s">
        <v>175</v>
      </c>
      <c r="BO38" s="641"/>
      <c r="BP38" s="78"/>
      <c r="BQ38" s="82" t="s">
        <v>175</v>
      </c>
      <c r="BR38" s="77"/>
      <c r="BS38" s="641"/>
      <c r="BT38" s="78"/>
      <c r="BU38" s="76"/>
      <c r="BV38" s="77"/>
      <c r="BW38" s="641"/>
      <c r="BX38" s="78"/>
      <c r="BY38" s="94"/>
      <c r="BZ38" s="793" t="s">
        <v>92</v>
      </c>
      <c r="CA38" s="131" t="s">
        <v>1279</v>
      </c>
      <c r="CB38" s="608"/>
      <c r="CC38" s="613">
        <v>3</v>
      </c>
      <c r="CD38" s="614">
        <f t="shared" si="2"/>
        <v>0</v>
      </c>
      <c r="CE38" s="136" t="s">
        <v>39</v>
      </c>
      <c r="CF38" s="546">
        <v>287500</v>
      </c>
    </row>
    <row r="39" spans="1:84" ht="12.75">
      <c r="A39" s="115" t="s">
        <v>1542</v>
      </c>
      <c r="B39" s="69" t="s">
        <v>1610</v>
      </c>
      <c r="C39" s="636" t="s">
        <v>865</v>
      </c>
      <c r="D39" s="62">
        <v>35</v>
      </c>
      <c r="E39" s="120" t="s">
        <v>1140</v>
      </c>
      <c r="F39" s="15">
        <v>3</v>
      </c>
      <c r="G39" s="18">
        <v>4</v>
      </c>
      <c r="H39" s="17">
        <v>4</v>
      </c>
      <c r="I39" s="16">
        <v>2</v>
      </c>
      <c r="J39" s="186">
        <v>2</v>
      </c>
      <c r="K39" s="192">
        <v>3</v>
      </c>
      <c r="L39" s="876">
        <v>150</v>
      </c>
      <c r="M39" s="890">
        <v>37</v>
      </c>
      <c r="N39" s="106">
        <v>350</v>
      </c>
      <c r="O39" s="454">
        <v>0</v>
      </c>
      <c r="P39" s="568">
        <v>0</v>
      </c>
      <c r="Q39" s="11">
        <v>469</v>
      </c>
      <c r="R39" s="98">
        <v>130</v>
      </c>
      <c r="S39" s="99"/>
      <c r="T39" s="127">
        <v>1400</v>
      </c>
      <c r="U39" s="100">
        <v>16500</v>
      </c>
      <c r="V39" s="100">
        <v>2500</v>
      </c>
      <c r="W39" s="552"/>
      <c r="X39" s="147">
        <v>526</v>
      </c>
      <c r="Y39" s="138">
        <v>50</v>
      </c>
      <c r="Z39" s="52">
        <v>10</v>
      </c>
      <c r="AA39" s="52">
        <v>25</v>
      </c>
      <c r="AB39" s="53">
        <v>45</v>
      </c>
      <c r="AC39" s="909">
        <v>704</v>
      </c>
      <c r="AD39" s="141">
        <v>625</v>
      </c>
      <c r="AF39" s="40">
        <v>0</v>
      </c>
      <c r="AG39" s="41">
        <v>50</v>
      </c>
      <c r="AH39" s="41">
        <v>40</v>
      </c>
      <c r="AI39" s="42">
        <v>20</v>
      </c>
      <c r="AJ39" s="5">
        <f t="shared" si="0"/>
        <v>1699</v>
      </c>
      <c r="AK39" s="103" t="str">
        <f t="shared" si="1"/>
        <v>S</v>
      </c>
      <c r="AL39" s="862">
        <v>362</v>
      </c>
      <c r="AM39" s="101">
        <v>234.38</v>
      </c>
      <c r="AO39" s="146">
        <v>35</v>
      </c>
      <c r="AP39" s="179" t="s">
        <v>463</v>
      </c>
      <c r="AQ39" s="125">
        <v>550</v>
      </c>
      <c r="AR39" s="70">
        <v>0</v>
      </c>
      <c r="AS39" s="71">
        <v>12</v>
      </c>
      <c r="AT39" s="71">
        <v>0</v>
      </c>
      <c r="AU39" s="72">
        <v>0</v>
      </c>
      <c r="AV39" s="7">
        <v>40</v>
      </c>
      <c r="AW39" s="144">
        <v>230</v>
      </c>
      <c r="AX39" s="56">
        <v>0</v>
      </c>
      <c r="AY39" s="34">
        <v>5</v>
      </c>
      <c r="AZ39" s="34">
        <v>0</v>
      </c>
      <c r="BA39" s="84">
        <v>0</v>
      </c>
      <c r="BB39" s="596"/>
      <c r="BC39" s="596"/>
      <c r="BD39" s="553"/>
      <c r="BE39" s="596"/>
      <c r="BF39" s="596"/>
      <c r="BG39" s="596"/>
      <c r="BH39" s="596"/>
      <c r="BI39" s="596"/>
      <c r="BJ39" s="700" t="s">
        <v>1476</v>
      </c>
      <c r="BK39" s="310" t="s">
        <v>136</v>
      </c>
      <c r="BL39" s="420" t="s">
        <v>569</v>
      </c>
      <c r="BM39" s="32" t="s">
        <v>783</v>
      </c>
      <c r="BN39" s="640"/>
      <c r="BO39" s="758" t="s">
        <v>175</v>
      </c>
      <c r="BP39" s="78"/>
      <c r="BQ39" s="76"/>
      <c r="BR39" s="77"/>
      <c r="BS39" s="641"/>
      <c r="BT39" s="78"/>
      <c r="BU39" s="76"/>
      <c r="BV39" s="77"/>
      <c r="BW39" s="641"/>
      <c r="BX39" s="78"/>
      <c r="BY39" s="94"/>
      <c r="BZ39" s="793" t="s">
        <v>1135</v>
      </c>
      <c r="CA39" s="131" t="s">
        <v>1280</v>
      </c>
      <c r="CB39" s="608"/>
      <c r="CC39" s="613">
        <v>4</v>
      </c>
      <c r="CD39" s="614">
        <f t="shared" si="2"/>
        <v>0</v>
      </c>
      <c r="CE39" s="135" t="s">
        <v>932</v>
      </c>
      <c r="CF39" s="546">
        <v>285000</v>
      </c>
    </row>
    <row r="40" spans="1:84" ht="12.75">
      <c r="A40" s="115" t="s">
        <v>1546</v>
      </c>
      <c r="B40" s="69" t="s">
        <v>1605</v>
      </c>
      <c r="C40" s="315" t="s">
        <v>1042</v>
      </c>
      <c r="D40" s="62">
        <v>35</v>
      </c>
      <c r="E40" s="120" t="s">
        <v>1140</v>
      </c>
      <c r="F40" s="15">
        <v>4</v>
      </c>
      <c r="G40" s="18">
        <v>3</v>
      </c>
      <c r="H40" s="17">
        <v>4</v>
      </c>
      <c r="I40" s="16">
        <v>2</v>
      </c>
      <c r="J40" s="186">
        <v>2</v>
      </c>
      <c r="K40" s="192">
        <v>3</v>
      </c>
      <c r="L40" s="876">
        <v>125</v>
      </c>
      <c r="M40" s="890">
        <v>40</v>
      </c>
      <c r="N40" s="106">
        <v>350</v>
      </c>
      <c r="O40" s="454">
        <v>5</v>
      </c>
      <c r="P40" s="568">
        <v>5</v>
      </c>
      <c r="Q40" s="11">
        <v>574</v>
      </c>
      <c r="R40" s="98">
        <v>140</v>
      </c>
      <c r="S40" s="99"/>
      <c r="T40" s="127">
        <v>1250</v>
      </c>
      <c r="U40" s="100">
        <v>26500</v>
      </c>
      <c r="V40" s="100">
        <v>2500</v>
      </c>
      <c r="W40" s="552"/>
      <c r="X40" s="147">
        <v>644</v>
      </c>
      <c r="Y40" s="138">
        <v>50</v>
      </c>
      <c r="Z40" s="52">
        <v>10</v>
      </c>
      <c r="AA40" s="52">
        <v>35</v>
      </c>
      <c r="AB40" s="53">
        <v>35</v>
      </c>
      <c r="AC40" s="149">
        <v>586</v>
      </c>
      <c r="AD40" s="141">
        <v>625</v>
      </c>
      <c r="AF40" s="40">
        <v>0</v>
      </c>
      <c r="AG40" s="41">
        <v>50</v>
      </c>
      <c r="AH40" s="41">
        <v>40</v>
      </c>
      <c r="AI40" s="42">
        <v>20</v>
      </c>
      <c r="AJ40" s="5">
        <f t="shared" si="0"/>
        <v>1804</v>
      </c>
      <c r="AK40" s="103" t="str">
        <f t="shared" si="1"/>
        <v>~</v>
      </c>
      <c r="AL40" s="862">
        <v>362</v>
      </c>
      <c r="AM40" s="101">
        <v>234.38</v>
      </c>
      <c r="AO40" s="146">
        <v>32</v>
      </c>
      <c r="AP40" s="179" t="s">
        <v>1267</v>
      </c>
      <c r="AQ40" s="125">
        <v>590</v>
      </c>
      <c r="AR40" s="70">
        <v>0</v>
      </c>
      <c r="AS40" s="71">
        <v>0</v>
      </c>
      <c r="AT40" s="71">
        <v>11</v>
      </c>
      <c r="AU40" s="72">
        <v>0</v>
      </c>
      <c r="AV40" s="7">
        <v>42</v>
      </c>
      <c r="AW40" s="144">
        <v>245</v>
      </c>
      <c r="AX40" s="56">
        <v>0</v>
      </c>
      <c r="AY40" s="34">
        <v>0</v>
      </c>
      <c r="AZ40" s="34">
        <v>5</v>
      </c>
      <c r="BA40" s="84">
        <v>0</v>
      </c>
      <c r="BB40" s="596"/>
      <c r="BC40" s="596"/>
      <c r="BD40" s="553"/>
      <c r="BE40" s="596"/>
      <c r="BF40" s="596"/>
      <c r="BG40" s="596"/>
      <c r="BH40" s="596"/>
      <c r="BI40" s="596"/>
      <c r="BJ40" s="700" t="s">
        <v>1476</v>
      </c>
      <c r="BK40" s="310" t="s">
        <v>136</v>
      </c>
      <c r="BL40" s="420" t="s">
        <v>356</v>
      </c>
      <c r="BM40" s="32" t="s">
        <v>1384</v>
      </c>
      <c r="BN40" s="640"/>
      <c r="BO40" s="641"/>
      <c r="BP40" s="760" t="s">
        <v>175</v>
      </c>
      <c r="BQ40" s="76"/>
      <c r="BR40" s="77"/>
      <c r="BS40" s="641"/>
      <c r="BT40" s="78"/>
      <c r="BU40" s="76"/>
      <c r="BV40" s="77"/>
      <c r="BW40" s="641"/>
      <c r="BX40" s="78"/>
      <c r="BY40" s="94"/>
      <c r="BZ40" s="793" t="s">
        <v>1135</v>
      </c>
      <c r="CA40" s="131" t="s">
        <v>142</v>
      </c>
      <c r="CB40" s="608"/>
      <c r="CC40" s="613">
        <f>2*1.25+2</f>
        <v>4.5</v>
      </c>
      <c r="CD40" s="614">
        <f t="shared" si="2"/>
        <v>0.2</v>
      </c>
      <c r="CE40" s="136" t="s">
        <v>933</v>
      </c>
      <c r="CF40" s="546">
        <v>282500</v>
      </c>
    </row>
    <row r="41" spans="1:84" ht="12.75">
      <c r="A41" s="115" t="s">
        <v>1549</v>
      </c>
      <c r="B41" s="117" t="s">
        <v>1253</v>
      </c>
      <c r="C41" s="797" t="s">
        <v>992</v>
      </c>
      <c r="D41" s="62">
        <v>35</v>
      </c>
      <c r="E41" s="120" t="s">
        <v>1140</v>
      </c>
      <c r="F41" s="15">
        <v>3</v>
      </c>
      <c r="G41" s="18">
        <v>4</v>
      </c>
      <c r="H41" s="17">
        <v>4</v>
      </c>
      <c r="I41" s="740">
        <v>3</v>
      </c>
      <c r="J41" s="186">
        <v>2</v>
      </c>
      <c r="K41" s="192">
        <v>3</v>
      </c>
      <c r="L41" s="876">
        <v>150</v>
      </c>
      <c r="M41" s="890">
        <v>35</v>
      </c>
      <c r="N41" s="106">
        <v>350</v>
      </c>
      <c r="O41" s="454">
        <v>0</v>
      </c>
      <c r="P41" s="568">
        <v>0</v>
      </c>
      <c r="Q41" s="11">
        <v>438</v>
      </c>
      <c r="R41" s="98">
        <v>130</v>
      </c>
      <c r="S41" s="99"/>
      <c r="T41" s="127">
        <v>1400</v>
      </c>
      <c r="U41" s="100">
        <v>16500</v>
      </c>
      <c r="V41" s="100">
        <v>2500</v>
      </c>
      <c r="W41" s="552"/>
      <c r="X41" s="147">
        <v>493</v>
      </c>
      <c r="Y41" s="138">
        <v>50</v>
      </c>
      <c r="Z41" s="52">
        <v>10</v>
      </c>
      <c r="AA41" s="52">
        <v>25</v>
      </c>
      <c r="AB41" s="53">
        <v>45</v>
      </c>
      <c r="AC41" s="149">
        <v>798</v>
      </c>
      <c r="AD41" s="141">
        <v>625</v>
      </c>
      <c r="AF41" s="40">
        <v>0</v>
      </c>
      <c r="AG41" s="41">
        <v>50</v>
      </c>
      <c r="AH41" s="41">
        <v>40</v>
      </c>
      <c r="AI41" s="42">
        <v>20</v>
      </c>
      <c r="AJ41" s="5">
        <f t="shared" si="0"/>
        <v>1729</v>
      </c>
      <c r="AK41" s="103" t="str">
        <f t="shared" si="1"/>
        <v>S</v>
      </c>
      <c r="AL41" s="862">
        <v>350</v>
      </c>
      <c r="AM41" s="101">
        <v>234.38</v>
      </c>
      <c r="AO41" s="146">
        <v>30</v>
      </c>
      <c r="AP41" s="179" t="s">
        <v>463</v>
      </c>
      <c r="AQ41" s="125">
        <v>550</v>
      </c>
      <c r="AR41" s="70">
        <v>0</v>
      </c>
      <c r="AS41" s="71">
        <v>11</v>
      </c>
      <c r="AT41" s="71">
        <v>0</v>
      </c>
      <c r="AU41" s="72">
        <v>0</v>
      </c>
      <c r="AV41" s="7">
        <v>40</v>
      </c>
      <c r="AW41" s="144">
        <v>230</v>
      </c>
      <c r="AX41" s="56">
        <v>0</v>
      </c>
      <c r="AY41" s="34">
        <v>5</v>
      </c>
      <c r="AZ41" s="34">
        <v>0</v>
      </c>
      <c r="BA41" s="84">
        <v>0</v>
      </c>
      <c r="BB41" s="596"/>
      <c r="BC41" s="596"/>
      <c r="BD41" s="553"/>
      <c r="BE41" s="596"/>
      <c r="BF41" s="596"/>
      <c r="BG41" s="596"/>
      <c r="BH41" s="596"/>
      <c r="BI41" s="596"/>
      <c r="BJ41" s="700" t="s">
        <v>1476</v>
      </c>
      <c r="BK41" s="310" t="s">
        <v>1671</v>
      </c>
      <c r="BL41" s="420" t="s">
        <v>1472</v>
      </c>
      <c r="BM41" s="32" t="s">
        <v>924</v>
      </c>
      <c r="BN41" s="640"/>
      <c r="BO41" s="758" t="s">
        <v>175</v>
      </c>
      <c r="BP41" s="81" t="s">
        <v>175</v>
      </c>
      <c r="BQ41" s="76"/>
      <c r="BR41" s="77"/>
      <c r="BS41" s="641"/>
      <c r="BT41" s="78"/>
      <c r="BU41" s="76"/>
      <c r="BV41" s="77"/>
      <c r="BW41" s="641"/>
      <c r="BX41" s="78"/>
      <c r="BY41" s="94"/>
      <c r="BZ41" s="793" t="s">
        <v>703</v>
      </c>
      <c r="CA41" s="131" t="s">
        <v>143</v>
      </c>
      <c r="CB41" s="608"/>
      <c r="CC41" s="613">
        <f>3*1.25+1</f>
        <v>4.75</v>
      </c>
      <c r="CD41" s="614">
        <f t="shared" si="2"/>
        <v>0</v>
      </c>
      <c r="CE41" s="135" t="s">
        <v>934</v>
      </c>
      <c r="CF41" s="546">
        <v>285000</v>
      </c>
    </row>
    <row r="42" spans="1:84" ht="12.75">
      <c r="A42" s="115" t="s">
        <v>1547</v>
      </c>
      <c r="B42" s="69" t="s">
        <v>1433</v>
      </c>
      <c r="C42" s="319" t="s">
        <v>99</v>
      </c>
      <c r="D42" s="62">
        <v>35</v>
      </c>
      <c r="E42" s="120" t="s">
        <v>1140</v>
      </c>
      <c r="F42" s="15">
        <v>3</v>
      </c>
      <c r="G42" s="18">
        <v>3</v>
      </c>
      <c r="H42" s="17">
        <v>4</v>
      </c>
      <c r="I42" s="16">
        <v>2</v>
      </c>
      <c r="J42" s="186">
        <v>2</v>
      </c>
      <c r="K42" s="192">
        <v>3</v>
      </c>
      <c r="L42" s="876">
        <v>125</v>
      </c>
      <c r="M42" s="890">
        <v>38</v>
      </c>
      <c r="N42" s="106">
        <v>350</v>
      </c>
      <c r="O42" s="454">
        <v>0</v>
      </c>
      <c r="P42" s="568">
        <v>0</v>
      </c>
      <c r="Q42" s="11">
        <v>504</v>
      </c>
      <c r="R42" s="98">
        <v>130</v>
      </c>
      <c r="S42" s="99"/>
      <c r="T42" s="127">
        <v>1150</v>
      </c>
      <c r="U42" s="100">
        <v>16500</v>
      </c>
      <c r="V42" s="100">
        <v>2500</v>
      </c>
      <c r="W42" s="552"/>
      <c r="X42" s="147">
        <v>526</v>
      </c>
      <c r="Y42" s="138">
        <v>60</v>
      </c>
      <c r="Z42" s="52">
        <v>10</v>
      </c>
      <c r="AA42" s="52">
        <v>25</v>
      </c>
      <c r="AB42" s="53">
        <v>35</v>
      </c>
      <c r="AC42" s="149">
        <v>586</v>
      </c>
      <c r="AD42" s="141">
        <v>625</v>
      </c>
      <c r="AF42" s="40">
        <v>0</v>
      </c>
      <c r="AG42" s="41">
        <v>50</v>
      </c>
      <c r="AH42" s="41">
        <v>40</v>
      </c>
      <c r="AI42" s="42">
        <v>20</v>
      </c>
      <c r="AJ42" s="5">
        <f t="shared" si="0"/>
        <v>1616</v>
      </c>
      <c r="AK42" s="103" t="str">
        <f t="shared" si="1"/>
        <v>S</v>
      </c>
      <c r="AL42" s="862">
        <v>325</v>
      </c>
      <c r="AM42" s="101">
        <v>234.38</v>
      </c>
      <c r="AO42" s="146">
        <v>30</v>
      </c>
      <c r="AP42" s="179" t="s">
        <v>463</v>
      </c>
      <c r="AQ42" s="125">
        <v>550</v>
      </c>
      <c r="AR42" s="70">
        <v>0</v>
      </c>
      <c r="AS42" s="71">
        <v>0</v>
      </c>
      <c r="AT42" s="71">
        <v>0</v>
      </c>
      <c r="AU42" s="72">
        <v>9</v>
      </c>
      <c r="AV42" s="7">
        <v>36</v>
      </c>
      <c r="AW42" s="910">
        <v>325</v>
      </c>
      <c r="AX42" s="56">
        <v>0</v>
      </c>
      <c r="AY42" s="34">
        <v>0</v>
      </c>
      <c r="AZ42" s="34">
        <v>0</v>
      </c>
      <c r="BA42" s="84">
        <v>7</v>
      </c>
      <c r="BB42" s="596"/>
      <c r="BC42" s="596"/>
      <c r="BD42" s="553"/>
      <c r="BE42" s="596"/>
      <c r="BF42" s="596"/>
      <c r="BG42" s="596"/>
      <c r="BH42" s="596"/>
      <c r="BI42" s="596"/>
      <c r="BJ42" s="700" t="s">
        <v>1476</v>
      </c>
      <c r="BK42" s="310" t="s">
        <v>136</v>
      </c>
      <c r="BL42" s="420" t="s">
        <v>1622</v>
      </c>
      <c r="BM42" s="32" t="s">
        <v>408</v>
      </c>
      <c r="BN42" s="640"/>
      <c r="BO42" s="643"/>
      <c r="BP42" s="78"/>
      <c r="BQ42" s="759" t="s">
        <v>175</v>
      </c>
      <c r="BR42" s="77"/>
      <c r="BS42" s="643"/>
      <c r="BT42" s="78"/>
      <c r="BU42" s="76"/>
      <c r="BV42" s="77"/>
      <c r="BW42" s="641"/>
      <c r="BX42" s="78"/>
      <c r="BY42" s="94"/>
      <c r="BZ42" s="793" t="s">
        <v>1132</v>
      </c>
      <c r="CA42" s="131" t="s">
        <v>975</v>
      </c>
      <c r="CB42" s="608"/>
      <c r="CC42" s="613">
        <v>4</v>
      </c>
      <c r="CD42" s="614">
        <f t="shared" si="2"/>
        <v>0</v>
      </c>
      <c r="CE42" s="136" t="s">
        <v>935</v>
      </c>
      <c r="CF42" s="546">
        <v>285000</v>
      </c>
    </row>
    <row r="43" spans="1:84" ht="12.75">
      <c r="A43" s="115" t="s">
        <v>1548</v>
      </c>
      <c r="B43" s="118" t="s">
        <v>1548</v>
      </c>
      <c r="C43" s="798" t="s">
        <v>993</v>
      </c>
      <c r="D43" s="62">
        <v>35</v>
      </c>
      <c r="E43" s="120" t="s">
        <v>1140</v>
      </c>
      <c r="F43" s="15">
        <v>2</v>
      </c>
      <c r="G43" s="18">
        <v>4</v>
      </c>
      <c r="H43" s="17">
        <v>4</v>
      </c>
      <c r="I43" s="323">
        <v>0</v>
      </c>
      <c r="J43" s="738">
        <v>2</v>
      </c>
      <c r="K43" s="192">
        <v>3</v>
      </c>
      <c r="L43" s="876">
        <v>175</v>
      </c>
      <c r="M43" s="890">
        <v>58</v>
      </c>
      <c r="N43" s="106">
        <v>350</v>
      </c>
      <c r="O43" s="454">
        <v>0</v>
      </c>
      <c r="P43" s="568">
        <v>0</v>
      </c>
      <c r="Q43" s="11">
        <v>520</v>
      </c>
      <c r="R43" s="98">
        <v>135</v>
      </c>
      <c r="S43" s="99"/>
      <c r="T43" s="127">
        <v>1200</v>
      </c>
      <c r="U43" s="100">
        <v>28600</v>
      </c>
      <c r="V43" s="100">
        <v>2500</v>
      </c>
      <c r="W43" s="552">
        <v>3.1</v>
      </c>
      <c r="X43" s="147">
        <v>548</v>
      </c>
      <c r="Y43" s="138">
        <v>50</v>
      </c>
      <c r="Z43" s="52">
        <v>20</v>
      </c>
      <c r="AA43" s="52">
        <v>25</v>
      </c>
      <c r="AB43" s="53">
        <v>35</v>
      </c>
      <c r="AC43" s="149">
        <v>798</v>
      </c>
      <c r="AD43" s="141">
        <v>910</v>
      </c>
      <c r="AF43" s="40">
        <v>0</v>
      </c>
      <c r="AG43" s="41">
        <v>50</v>
      </c>
      <c r="AH43" s="41">
        <v>40</v>
      </c>
      <c r="AI43" s="42">
        <v>20</v>
      </c>
      <c r="AJ43" s="5">
        <f t="shared" si="0"/>
        <v>1866</v>
      </c>
      <c r="AK43" s="103" t="str">
        <f t="shared" si="1"/>
        <v>S</v>
      </c>
      <c r="AL43" s="862">
        <v>375</v>
      </c>
      <c r="AM43" s="101">
        <v>234.28</v>
      </c>
      <c r="AO43" s="146">
        <v>25</v>
      </c>
      <c r="AP43" s="179" t="s">
        <v>1267</v>
      </c>
      <c r="AQ43" s="125">
        <v>610</v>
      </c>
      <c r="AR43" s="70">
        <v>9</v>
      </c>
      <c r="AS43" s="71">
        <v>0</v>
      </c>
      <c r="AT43" s="71">
        <v>0</v>
      </c>
      <c r="AU43" s="72">
        <v>0</v>
      </c>
      <c r="AV43" s="7">
        <v>38</v>
      </c>
      <c r="AW43" s="144">
        <v>250</v>
      </c>
      <c r="AX43" s="56">
        <v>7</v>
      </c>
      <c r="AY43" s="34">
        <v>0</v>
      </c>
      <c r="AZ43" s="34">
        <v>0</v>
      </c>
      <c r="BA43" s="84">
        <v>0</v>
      </c>
      <c r="BB43" s="596">
        <v>6</v>
      </c>
      <c r="BC43" s="596"/>
      <c r="BD43" s="553"/>
      <c r="BE43" s="596"/>
      <c r="BF43" s="596"/>
      <c r="BG43" s="596"/>
      <c r="BH43" s="596"/>
      <c r="BI43" s="596"/>
      <c r="BJ43" s="700" t="s">
        <v>1476</v>
      </c>
      <c r="BK43" s="310" t="s">
        <v>136</v>
      </c>
      <c r="BL43" s="420" t="s">
        <v>1710</v>
      </c>
      <c r="BM43" s="32" t="s">
        <v>1653</v>
      </c>
      <c r="BN43" s="757" t="s">
        <v>175</v>
      </c>
      <c r="BO43" s="758" t="s">
        <v>175</v>
      </c>
      <c r="BP43" s="81"/>
      <c r="BQ43" s="82"/>
      <c r="BR43" s="79"/>
      <c r="BS43" s="642"/>
      <c r="BT43" s="81"/>
      <c r="BU43" s="82"/>
      <c r="BV43" s="79"/>
      <c r="BW43" s="642"/>
      <c r="BX43" s="81"/>
      <c r="BY43" s="96"/>
      <c r="BZ43" s="793" t="s">
        <v>92</v>
      </c>
      <c r="CA43" s="131" t="s">
        <v>976</v>
      </c>
      <c r="CB43" s="608"/>
      <c r="CC43" s="613">
        <f>4*1.25</f>
        <v>5</v>
      </c>
      <c r="CD43" s="614">
        <f t="shared" si="2"/>
        <v>0</v>
      </c>
      <c r="CE43" s="135" t="s">
        <v>936</v>
      </c>
      <c r="CF43" s="546">
        <v>287500</v>
      </c>
    </row>
    <row r="44" spans="1:83" s="54" customFormat="1" ht="12.75">
      <c r="A44" s="161" t="s">
        <v>902</v>
      </c>
      <c r="B44" s="176" t="s">
        <v>903</v>
      </c>
      <c r="C44" s="636" t="s">
        <v>865</v>
      </c>
      <c r="D44" s="124">
        <v>20</v>
      </c>
      <c r="E44" s="121" t="s">
        <v>646</v>
      </c>
      <c r="F44" s="154">
        <v>0</v>
      </c>
      <c r="G44" s="155">
        <v>0</v>
      </c>
      <c r="H44" s="156">
        <v>0</v>
      </c>
      <c r="I44" s="157">
        <v>0</v>
      </c>
      <c r="J44" s="190">
        <v>0</v>
      </c>
      <c r="K44" s="193">
        <v>0</v>
      </c>
      <c r="L44" s="877">
        <v>150</v>
      </c>
      <c r="M44" s="891">
        <v>25</v>
      </c>
      <c r="N44" s="197">
        <v>1</v>
      </c>
      <c r="O44" s="544">
        <v>0</v>
      </c>
      <c r="P44" s="569">
        <v>0</v>
      </c>
      <c r="Q44" s="159">
        <v>16</v>
      </c>
      <c r="R44" s="160">
        <v>10</v>
      </c>
      <c r="S44" s="21"/>
      <c r="T44" s="162">
        <v>1600</v>
      </c>
      <c r="U44" s="163">
        <v>5000</v>
      </c>
      <c r="V44" s="163">
        <v>500</v>
      </c>
      <c r="W44" s="432">
        <v>1</v>
      </c>
      <c r="X44" s="153">
        <v>195</v>
      </c>
      <c r="Y44" s="165">
        <v>50</v>
      </c>
      <c r="Z44" s="48">
        <v>10</v>
      </c>
      <c r="AA44" s="48">
        <v>25</v>
      </c>
      <c r="AB44" s="50">
        <v>45</v>
      </c>
      <c r="AC44" s="166">
        <v>235</v>
      </c>
      <c r="AD44" s="167">
        <v>625</v>
      </c>
      <c r="AE44" s="21"/>
      <c r="AF44" s="46">
        <v>0</v>
      </c>
      <c r="AG44" s="41">
        <v>50</v>
      </c>
      <c r="AH44" s="48">
        <v>40</v>
      </c>
      <c r="AI44" s="47">
        <v>20</v>
      </c>
      <c r="AJ44" s="174">
        <f t="shared" si="0"/>
        <v>446</v>
      </c>
      <c r="AK44" s="175" t="str">
        <f t="shared" si="1"/>
        <v>S</v>
      </c>
      <c r="AL44" s="864">
        <v>250</v>
      </c>
      <c r="AM44" s="168">
        <v>375</v>
      </c>
      <c r="AN44" s="21"/>
      <c r="AO44" s="169">
        <v>35</v>
      </c>
      <c r="AP44" s="180">
        <v>2</v>
      </c>
      <c r="AR44" s="170">
        <v>0</v>
      </c>
      <c r="AS44" s="171">
        <v>7</v>
      </c>
      <c r="AT44" s="171">
        <v>0</v>
      </c>
      <c r="AU44" s="172">
        <v>0</v>
      </c>
      <c r="AV44" s="133">
        <v>25</v>
      </c>
      <c r="AW44" s="164">
        <v>500</v>
      </c>
      <c r="AX44" s="56">
        <v>0</v>
      </c>
      <c r="AY44" s="34">
        <v>0</v>
      </c>
      <c r="AZ44" s="34">
        <v>0</v>
      </c>
      <c r="BA44" s="84">
        <v>0</v>
      </c>
      <c r="BB44" s="597">
        <v>6</v>
      </c>
      <c r="BC44" s="597"/>
      <c r="BD44" s="554"/>
      <c r="BE44" s="597"/>
      <c r="BF44" s="597"/>
      <c r="BG44" s="597"/>
      <c r="BH44" s="597"/>
      <c r="BI44" s="597"/>
      <c r="BJ44" s="700" t="s">
        <v>1476</v>
      </c>
      <c r="BK44" s="310" t="s">
        <v>1687</v>
      </c>
      <c r="BL44" s="695" t="s">
        <v>1299</v>
      </c>
      <c r="BM44" s="173" t="s">
        <v>904</v>
      </c>
      <c r="BN44" s="95"/>
      <c r="BO44" s="79"/>
      <c r="BP44" s="81"/>
      <c r="BQ44" s="82"/>
      <c r="BR44" s="80"/>
      <c r="BS44" s="79"/>
      <c r="BT44" s="81"/>
      <c r="BU44" s="82"/>
      <c r="BV44" s="80"/>
      <c r="BW44" s="79"/>
      <c r="BX44" s="81"/>
      <c r="BY44" s="96"/>
      <c r="BZ44" s="832"/>
      <c r="CA44" s="132">
        <v>21097</v>
      </c>
      <c r="CB44" s="615"/>
      <c r="CC44" s="601" t="s">
        <v>1299</v>
      </c>
      <c r="CD44" s="614" t="s">
        <v>1299</v>
      </c>
      <c r="CE44" s="136" t="s">
        <v>582</v>
      </c>
    </row>
    <row r="45" spans="1:84" ht="12.75">
      <c r="A45" s="161" t="s">
        <v>685</v>
      </c>
      <c r="B45" s="176" t="s">
        <v>903</v>
      </c>
      <c r="C45" s="797" t="s">
        <v>992</v>
      </c>
      <c r="D45" s="124">
        <v>20</v>
      </c>
      <c r="E45" s="121" t="s">
        <v>646</v>
      </c>
      <c r="F45" s="154">
        <v>0</v>
      </c>
      <c r="G45" s="155">
        <v>0</v>
      </c>
      <c r="H45" s="156">
        <v>0</v>
      </c>
      <c r="I45" s="157">
        <v>0</v>
      </c>
      <c r="J45" s="190">
        <v>0</v>
      </c>
      <c r="K45" s="193">
        <v>0</v>
      </c>
      <c r="L45" s="877">
        <v>150</v>
      </c>
      <c r="M45" s="891">
        <v>25</v>
      </c>
      <c r="N45" s="197">
        <v>1</v>
      </c>
      <c r="O45" s="544">
        <v>0</v>
      </c>
      <c r="P45" s="569">
        <v>0</v>
      </c>
      <c r="Q45" s="159">
        <v>13</v>
      </c>
      <c r="R45" s="160">
        <v>10</v>
      </c>
      <c r="S45" s="21"/>
      <c r="T45" s="162">
        <v>1600</v>
      </c>
      <c r="U45" s="163">
        <v>5000</v>
      </c>
      <c r="V45" s="163">
        <v>500</v>
      </c>
      <c r="W45" s="432">
        <v>1</v>
      </c>
      <c r="X45" s="153">
        <v>156</v>
      </c>
      <c r="Y45" s="165">
        <v>50</v>
      </c>
      <c r="Z45" s="48">
        <v>10</v>
      </c>
      <c r="AA45" s="48">
        <v>25</v>
      </c>
      <c r="AB45" s="50">
        <v>45</v>
      </c>
      <c r="AC45" s="166">
        <v>188</v>
      </c>
      <c r="AD45" s="167">
        <v>625</v>
      </c>
      <c r="AF45" s="46">
        <v>0</v>
      </c>
      <c r="AG45" s="41">
        <v>50</v>
      </c>
      <c r="AH45" s="48">
        <v>40</v>
      </c>
      <c r="AI45" s="47">
        <v>20</v>
      </c>
      <c r="AJ45" s="174">
        <f>Q45+X45+AC45</f>
        <v>357</v>
      </c>
      <c r="AK45" s="175" t="str">
        <f t="shared" si="1"/>
        <v>S</v>
      </c>
      <c r="AL45" s="864">
        <v>250</v>
      </c>
      <c r="AM45" s="168">
        <v>375</v>
      </c>
      <c r="AO45" s="169">
        <v>35</v>
      </c>
      <c r="AP45" s="180">
        <v>2</v>
      </c>
      <c r="AQ45" s="54"/>
      <c r="AR45" s="170">
        <v>0</v>
      </c>
      <c r="AS45" s="171">
        <v>7</v>
      </c>
      <c r="AT45" s="171">
        <v>0</v>
      </c>
      <c r="AU45" s="172">
        <v>0</v>
      </c>
      <c r="AV45" s="133">
        <v>25</v>
      </c>
      <c r="AW45" s="164">
        <v>500</v>
      </c>
      <c r="AX45" s="56">
        <v>0</v>
      </c>
      <c r="AY45" s="34">
        <v>0</v>
      </c>
      <c r="AZ45" s="34">
        <v>0</v>
      </c>
      <c r="BA45" s="84">
        <v>0</v>
      </c>
      <c r="BB45" s="597">
        <v>6</v>
      </c>
      <c r="BJ45" s="700" t="s">
        <v>1476</v>
      </c>
      <c r="BK45" s="310" t="s">
        <v>1687</v>
      </c>
      <c r="BL45" s="695" t="s">
        <v>1299</v>
      </c>
      <c r="BM45" s="173" t="s">
        <v>687</v>
      </c>
      <c r="BN45" s="95"/>
      <c r="BO45" s="79"/>
      <c r="BP45" s="81"/>
      <c r="BQ45" s="82"/>
      <c r="BR45" s="80"/>
      <c r="BS45" s="79"/>
      <c r="BT45" s="81"/>
      <c r="BU45" s="82"/>
      <c r="BV45" s="80"/>
      <c r="BW45" s="79"/>
      <c r="BX45" s="81"/>
      <c r="BY45" s="96"/>
      <c r="BZ45" s="832"/>
      <c r="CA45" s="132">
        <v>21628</v>
      </c>
      <c r="CB45" s="615"/>
      <c r="CC45" s="601" t="s">
        <v>1299</v>
      </c>
      <c r="CD45" s="614" t="s">
        <v>1299</v>
      </c>
      <c r="CE45" s="136" t="s">
        <v>686</v>
      </c>
      <c r="CF45" s="54"/>
    </row>
    <row r="46" spans="1:84" ht="12.75">
      <c r="A46" s="161" t="s">
        <v>1223</v>
      </c>
      <c r="B46" s="176" t="s">
        <v>759</v>
      </c>
      <c r="C46" s="315" t="s">
        <v>760</v>
      </c>
      <c r="D46" s="124">
        <v>20</v>
      </c>
      <c r="E46" s="121" t="s">
        <v>646</v>
      </c>
      <c r="F46" s="154">
        <v>0</v>
      </c>
      <c r="G46" s="155">
        <v>0</v>
      </c>
      <c r="H46" s="156">
        <v>0</v>
      </c>
      <c r="I46" s="157">
        <v>0</v>
      </c>
      <c r="J46" s="190">
        <v>0</v>
      </c>
      <c r="K46" s="193">
        <v>0</v>
      </c>
      <c r="L46" s="877">
        <v>150</v>
      </c>
      <c r="M46" s="891">
        <v>25</v>
      </c>
      <c r="N46" s="197">
        <v>1</v>
      </c>
      <c r="O46" s="544">
        <v>0</v>
      </c>
      <c r="P46" s="569">
        <v>0</v>
      </c>
      <c r="Q46" s="159">
        <v>16</v>
      </c>
      <c r="R46" s="160">
        <v>20</v>
      </c>
      <c r="S46" s="21"/>
      <c r="T46" s="162">
        <v>1600</v>
      </c>
      <c r="U46" s="163">
        <v>5000</v>
      </c>
      <c r="V46" s="163">
        <v>500</v>
      </c>
      <c r="W46" s="432">
        <v>1</v>
      </c>
      <c r="X46" s="153">
        <v>195</v>
      </c>
      <c r="Y46" s="165">
        <v>50</v>
      </c>
      <c r="Z46" s="48">
        <v>10</v>
      </c>
      <c r="AA46" s="48">
        <v>35</v>
      </c>
      <c r="AB46" s="50">
        <v>35</v>
      </c>
      <c r="AC46" s="166">
        <v>235</v>
      </c>
      <c r="AD46" s="167">
        <v>625</v>
      </c>
      <c r="AF46" s="46">
        <v>0</v>
      </c>
      <c r="AG46" s="41">
        <v>50</v>
      </c>
      <c r="AH46" s="48">
        <v>40</v>
      </c>
      <c r="AI46" s="47">
        <v>20</v>
      </c>
      <c r="AJ46" s="174">
        <f>Q46+X46+AC46</f>
        <v>446</v>
      </c>
      <c r="AK46" s="175" t="str">
        <f t="shared" si="1"/>
        <v>S</v>
      </c>
      <c r="AL46" s="864">
        <v>250</v>
      </c>
      <c r="AM46" s="168">
        <v>375</v>
      </c>
      <c r="AO46" s="169">
        <v>35</v>
      </c>
      <c r="AP46" s="180">
        <v>2</v>
      </c>
      <c r="AQ46" s="54"/>
      <c r="AR46" s="170">
        <v>0</v>
      </c>
      <c r="AS46" s="171">
        <v>0</v>
      </c>
      <c r="AT46" s="171">
        <v>6</v>
      </c>
      <c r="AU46" s="172">
        <v>0</v>
      </c>
      <c r="AV46" s="133">
        <v>25</v>
      </c>
      <c r="AW46" s="164">
        <v>500</v>
      </c>
      <c r="AX46" s="56">
        <v>0</v>
      </c>
      <c r="AY46" s="34">
        <v>0</v>
      </c>
      <c r="AZ46" s="34">
        <v>0</v>
      </c>
      <c r="BA46" s="84">
        <v>0</v>
      </c>
      <c r="BB46" s="597">
        <v>6</v>
      </c>
      <c r="BJ46" s="700" t="s">
        <v>1476</v>
      </c>
      <c r="BK46" s="310" t="s">
        <v>1687</v>
      </c>
      <c r="BL46" s="695" t="s">
        <v>1299</v>
      </c>
      <c r="BM46" s="173" t="s">
        <v>423</v>
      </c>
      <c r="BN46" s="95"/>
      <c r="BO46" s="79"/>
      <c r="BP46" s="81"/>
      <c r="BQ46" s="82"/>
      <c r="BR46" s="80"/>
      <c r="BS46" s="79"/>
      <c r="BT46" s="81"/>
      <c r="BU46" s="82"/>
      <c r="BV46" s="80"/>
      <c r="BW46" s="79"/>
      <c r="BX46" s="81"/>
      <c r="BY46" s="96"/>
      <c r="BZ46" s="832"/>
      <c r="CA46" s="132"/>
      <c r="CB46" s="615"/>
      <c r="CC46" s="601" t="s">
        <v>1299</v>
      </c>
      <c r="CD46" s="614" t="s">
        <v>1299</v>
      </c>
      <c r="CE46" s="136" t="s">
        <v>686</v>
      </c>
      <c r="CF46" s="54"/>
    </row>
  </sheetData>
  <autoFilter ref="A3:CF3"/>
  <conditionalFormatting sqref="M9:N9 F4:K46 BB29:BI29">
    <cfRule type="cellIs" priority="1" dxfId="0" operator="equal" stopIfTrue="1">
      <formula>0</formula>
    </cfRule>
  </conditionalFormatting>
  <conditionalFormatting sqref="BN9:BZ9 BV14:BX14 BN14:BP14 BR14:BT14 BN10:CD13 BN4:CD8 BN15:BY46 CA15:CD46 BZ14:BZ46">
    <cfRule type="cellIs" priority="2" dxfId="5" operator="lessThan" stopIfTrue="1">
      <formula>1</formula>
    </cfRule>
  </conditionalFormatting>
  <conditionalFormatting sqref="CF4:CF8 CF10:CF13 O4:P27 O30:P46 AR4:AV46 CF15:CF46 AX4:BA46">
    <cfRule type="cellIs" priority="3" dxfId="1" operator="equal" stopIfTrue="1">
      <formula>0</formula>
    </cfRule>
  </conditionalFormatting>
  <conditionalFormatting sqref="AK4:AK46">
    <cfRule type="cellIs" priority="4" dxfId="2" operator="equal" stopIfTrue="1">
      <formula>"A"</formula>
    </cfRule>
    <cfRule type="cellIs" priority="5" dxfId="3" operator="equal" stopIfTrue="1">
      <formula>"S"</formula>
    </cfRule>
  </conditionalFormatting>
  <printOptions/>
  <pageMargins left="0.75" right="0.75" top="1" bottom="1" header="0.4921259845" footer="0.4921259845"/>
  <pageSetup horizontalDpi="360" verticalDpi="36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Feuil5"/>
  <dimension ref="A1:DK120"/>
  <sheetViews>
    <sheetView workbookViewId="0" topLeftCell="A1">
      <pane xSplit="5" ySplit="3" topLeftCell="BZ65" activePane="bottomRight" state="frozen"/>
      <selection pane="topLeft" activeCell="A1" sqref="A1"/>
      <selection pane="topRight" activeCell="F1" sqref="F1"/>
      <selection pane="bottomLeft" activeCell="A4" sqref="A4"/>
      <selection pane="bottomRight" activeCell="F71" sqref="F71"/>
    </sheetView>
  </sheetViews>
  <sheetFormatPr defaultColWidth="11.421875" defaultRowHeight="12.75"/>
  <cols>
    <col min="1" max="1" width="10.7109375" style="0" customWidth="1"/>
    <col min="2" max="2" width="9.421875" style="0" bestFit="1" customWidth="1"/>
    <col min="3" max="3" width="6.8515625" style="0" customWidth="1"/>
    <col min="4" max="4" width="1.7109375" style="675" customWidth="1"/>
    <col min="5" max="5" width="9.28125" style="0" customWidth="1"/>
    <col min="6" max="11" width="2.7109375" style="0" customWidth="1"/>
    <col min="12" max="12" width="5.7109375" style="0" customWidth="1"/>
    <col min="13" max="13" width="9.7109375" style="0" customWidth="1"/>
    <col min="14" max="14" width="5.00390625" style="0" customWidth="1"/>
    <col min="15" max="15" width="8.00390625" style="0" customWidth="1"/>
    <col min="16" max="16" width="9.7109375" style="0" customWidth="1"/>
    <col min="17" max="17" width="6.00390625" style="0" customWidth="1"/>
    <col min="18" max="18" width="8.8515625" style="0" customWidth="1"/>
    <col min="19" max="19" width="8.00390625" style="0" customWidth="1"/>
    <col min="20" max="20" width="7.421875" style="0" customWidth="1"/>
    <col min="21" max="21" width="10.00390625" style="0" customWidth="1"/>
    <col min="22" max="22" width="8.8515625" style="0" customWidth="1"/>
    <col min="23" max="23" width="5.7109375" style="3" customWidth="1"/>
    <col min="24" max="24" width="6.00390625" style="425" customWidth="1"/>
    <col min="25" max="28" width="4.7109375" style="0" customWidth="1"/>
    <col min="29" max="29" width="6.00390625" style="3" customWidth="1"/>
    <col min="30" max="30" width="6.8515625" style="0" customWidth="1"/>
    <col min="31" max="31" width="6.57421875" style="0" customWidth="1"/>
    <col min="32" max="35" width="4.7109375" style="0" customWidth="1"/>
    <col min="36" max="36" width="6.140625" style="0" customWidth="1"/>
    <col min="37" max="37" width="5.00390625" style="0" customWidth="1"/>
    <col min="38" max="38" width="7.140625" style="3" customWidth="1"/>
    <col min="39" max="39" width="6.140625" style="0" customWidth="1"/>
    <col min="40" max="40" width="6.57421875" style="0" customWidth="1"/>
    <col min="41" max="41" width="7.140625" style="3" customWidth="1"/>
    <col min="42" max="42" width="4.28125" style="0" customWidth="1"/>
    <col min="43" max="43" width="6.8515625" style="678" customWidth="1"/>
    <col min="44" max="47" width="2.7109375" style="0" customWidth="1"/>
    <col min="48" max="48" width="5.7109375" style="0" customWidth="1"/>
    <col min="49" max="49" width="9.28125" style="0" customWidth="1"/>
    <col min="50" max="50" width="5.57421875" style="0" hidden="1" customWidth="1"/>
    <col min="51" max="51" width="7.57421875" style="0" hidden="1" customWidth="1"/>
    <col min="52" max="52" width="3.00390625" style="0" hidden="1" customWidth="1"/>
    <col min="53" max="53" width="5.8515625" style="0" hidden="1" customWidth="1"/>
    <col min="54" max="54" width="9.57421875" style="0" customWidth="1"/>
    <col min="55" max="55" width="10.8515625" style="0" hidden="1" customWidth="1"/>
    <col min="56" max="56" width="8.7109375" style="0" hidden="1" customWidth="1"/>
    <col min="57" max="58" width="5.57421875" style="0" hidden="1" customWidth="1"/>
    <col min="59" max="59" width="7.8515625" style="0" hidden="1" customWidth="1"/>
    <col min="60" max="60" width="5.57421875" style="543" hidden="1" customWidth="1"/>
    <col min="61" max="61" width="5.28125" style="0" customWidth="1"/>
    <col min="62" max="62" width="5.00390625" style="0" customWidth="1"/>
    <col min="63" max="63" width="14.28125" style="0" customWidth="1"/>
    <col min="64" max="67" width="5.421875" style="0" customWidth="1"/>
    <col min="68" max="70" width="1.7109375" style="3" hidden="1" customWidth="1"/>
    <col min="71" max="73" width="1.7109375" style="0" hidden="1" customWidth="1"/>
    <col min="74" max="74" width="4.28125" style="433" hidden="1" customWidth="1"/>
    <col min="75" max="75" width="4.28125" style="582" hidden="1" customWidth="1"/>
    <col min="76" max="77" width="0" style="0" hidden="1" customWidth="1"/>
    <col min="78" max="78" width="6.140625" style="0" bestFit="1" customWidth="1"/>
    <col min="79" max="79" width="7.57421875" style="0" customWidth="1"/>
    <col min="80" max="80" width="4.7109375" style="0" hidden="1" customWidth="1"/>
    <col min="81" max="81" width="4.7109375" style="3" hidden="1" customWidth="1"/>
    <col min="82" max="82" width="5.8515625" style="3" hidden="1" customWidth="1"/>
    <col min="83" max="83" width="5.421875" style="0" hidden="1" customWidth="1"/>
    <col min="84" max="90" width="5.140625" style="0" hidden="1" customWidth="1"/>
    <col min="91" max="91" width="3.57421875" style="476" hidden="1" customWidth="1"/>
    <col min="92" max="92" width="5.28125" style="478" bestFit="1" customWidth="1"/>
    <col min="93" max="93" width="2.421875" style="436" customWidth="1"/>
    <col min="94" max="95" width="2.421875" style="0" customWidth="1"/>
    <col min="96" max="97" width="2.421875" style="39" customWidth="1"/>
    <col min="98" max="98" width="12.7109375" style="21" hidden="1" customWidth="1"/>
    <col min="99" max="100" width="7.00390625" style="21" hidden="1" customWidth="1"/>
    <col min="101" max="101" width="0" style="0" hidden="1" customWidth="1"/>
    <col min="102" max="103" width="5.7109375" style="0" hidden="1" customWidth="1"/>
    <col min="104" max="104" width="2.28125" style="0" hidden="1" customWidth="1"/>
    <col min="105" max="105" width="0" style="0" hidden="1" customWidth="1"/>
    <col min="106" max="106" width="12.7109375" style="0" hidden="1" customWidth="1"/>
    <col min="107" max="107" width="5.7109375" style="0" hidden="1" customWidth="1"/>
    <col min="108" max="108" width="7.57421875" style="0" hidden="1" customWidth="1"/>
    <col min="109" max="109" width="3.57421875" style="0" hidden="1" customWidth="1"/>
    <col min="110" max="110" width="6.00390625" style="0" hidden="1" customWidth="1"/>
    <col min="111" max="112" width="5.7109375" style="0" hidden="1" customWidth="1"/>
    <col min="113" max="113" width="7.00390625" style="0" hidden="1" customWidth="1"/>
    <col min="114" max="114" width="6.00390625" style="0" hidden="1" customWidth="1"/>
    <col min="115" max="115" width="8.57421875" style="0" hidden="1" customWidth="1"/>
  </cols>
  <sheetData>
    <row r="1" spans="1:115" s="199" customFormat="1" ht="12.75" customHeight="1">
      <c r="A1" s="20" t="s">
        <v>623</v>
      </c>
      <c r="B1" s="20" t="s">
        <v>620</v>
      </c>
      <c r="C1" s="20" t="s">
        <v>622</v>
      </c>
      <c r="D1" s="676" t="s">
        <v>301</v>
      </c>
      <c r="E1" s="20" t="s">
        <v>969</v>
      </c>
      <c r="F1" s="37" t="s">
        <v>1264</v>
      </c>
      <c r="G1" s="20"/>
      <c r="H1" s="20"/>
      <c r="I1" s="37" t="s">
        <v>749</v>
      </c>
      <c r="J1" s="20"/>
      <c r="K1" s="20"/>
      <c r="O1" s="20" t="s">
        <v>304</v>
      </c>
      <c r="P1" s="20"/>
      <c r="Q1" s="37" t="s">
        <v>1048</v>
      </c>
      <c r="R1" s="20"/>
      <c r="S1" s="20"/>
      <c r="T1" s="20"/>
      <c r="U1" s="20"/>
      <c r="V1" s="20"/>
      <c r="W1" s="20"/>
      <c r="X1" s="200" t="s">
        <v>1307</v>
      </c>
      <c r="Y1" s="201"/>
      <c r="Z1" s="201"/>
      <c r="AA1" s="201"/>
      <c r="AB1" s="201"/>
      <c r="AC1" s="37" t="s">
        <v>1308</v>
      </c>
      <c r="AD1" s="20"/>
      <c r="AE1" s="20"/>
      <c r="AF1" s="20"/>
      <c r="AG1" s="20"/>
      <c r="AH1" s="20"/>
      <c r="AI1" s="20"/>
      <c r="AJ1" s="202" t="s">
        <v>539</v>
      </c>
      <c r="AL1" s="37" t="s">
        <v>488</v>
      </c>
      <c r="AM1" s="20"/>
      <c r="AN1" s="203"/>
      <c r="AO1" s="204" t="s">
        <v>777</v>
      </c>
      <c r="AP1" s="205"/>
      <c r="AQ1" s="205"/>
      <c r="AR1" s="205"/>
      <c r="AS1" s="205"/>
      <c r="AT1" s="205"/>
      <c r="AU1" s="205"/>
      <c r="AV1" s="205"/>
      <c r="AW1" s="37" t="s">
        <v>437</v>
      </c>
      <c r="AX1" s="20"/>
      <c r="AY1" s="20"/>
      <c r="AZ1" s="20"/>
      <c r="BA1" s="20"/>
      <c r="BB1" s="20"/>
      <c r="BC1" s="20"/>
      <c r="BD1" s="20"/>
      <c r="BE1" s="37" t="s">
        <v>970</v>
      </c>
      <c r="BF1" s="20"/>
      <c r="BG1" s="20"/>
      <c r="BH1" s="201"/>
      <c r="BI1" s="20" t="s">
        <v>971</v>
      </c>
      <c r="BJ1" s="206" t="s">
        <v>972</v>
      </c>
      <c r="BK1" s="20" t="s">
        <v>973</v>
      </c>
      <c r="BL1" s="202" t="s">
        <v>33</v>
      </c>
      <c r="BM1" s="202"/>
      <c r="BN1" s="202" t="s">
        <v>72</v>
      </c>
      <c r="BO1" s="202"/>
      <c r="BP1" s="1046"/>
      <c r="BQ1" s="575"/>
      <c r="BR1" s="1046"/>
      <c r="BS1" s="1047" t="s">
        <v>1478</v>
      </c>
      <c r="BT1" s="1048" t="s">
        <v>1479</v>
      </c>
      <c r="BU1" s="1047" t="s">
        <v>1480</v>
      </c>
      <c r="BV1" s="209"/>
      <c r="BW1" s="209"/>
      <c r="BZ1" s="199" t="s">
        <v>1481</v>
      </c>
      <c r="CA1" s="20" t="s">
        <v>546</v>
      </c>
      <c r="CB1" s="199" t="s">
        <v>1482</v>
      </c>
      <c r="CE1" s="210"/>
      <c r="CF1" s="210"/>
      <c r="CG1" s="210"/>
      <c r="CH1" s="210"/>
      <c r="CI1" s="210"/>
      <c r="CJ1" s="210"/>
      <c r="CK1" s="210"/>
      <c r="CL1" s="210"/>
      <c r="CM1" s="485" t="s">
        <v>723</v>
      </c>
      <c r="CN1" s="198"/>
      <c r="CO1" s="198"/>
      <c r="CP1" s="211"/>
      <c r="CQ1" s="211"/>
      <c r="CR1" s="198"/>
      <c r="CS1" s="198"/>
      <c r="CX1" s="20"/>
      <c r="CY1" s="20"/>
      <c r="CZ1" s="20"/>
      <c r="DA1" s="199" t="s">
        <v>81</v>
      </c>
      <c r="DB1" s="199" t="s">
        <v>83</v>
      </c>
      <c r="DC1" s="199" t="s">
        <v>80</v>
      </c>
      <c r="DD1" s="199" t="s">
        <v>90</v>
      </c>
      <c r="DE1" s="199" t="s">
        <v>86</v>
      </c>
      <c r="DF1" s="199" t="s">
        <v>84</v>
      </c>
      <c r="DG1" s="199" t="s">
        <v>88</v>
      </c>
      <c r="DH1" s="199" t="s">
        <v>88</v>
      </c>
      <c r="DI1" s="199" t="s">
        <v>86</v>
      </c>
      <c r="DJ1" s="199" t="s">
        <v>88</v>
      </c>
      <c r="DK1" s="199" t="s">
        <v>885</v>
      </c>
    </row>
    <row r="2" spans="1:114" s="199" customFormat="1" ht="12.75" customHeight="1">
      <c r="A2" s="212"/>
      <c r="B2" s="212"/>
      <c r="C2" s="212"/>
      <c r="D2" s="213"/>
      <c r="E2" s="212"/>
      <c r="F2" s="212" t="s">
        <v>751</v>
      </c>
      <c r="G2" s="212" t="s">
        <v>752</v>
      </c>
      <c r="H2" s="212" t="s">
        <v>750</v>
      </c>
      <c r="I2" s="214" t="s">
        <v>1487</v>
      </c>
      <c r="J2" s="214" t="s">
        <v>1488</v>
      </c>
      <c r="K2" s="214" t="s">
        <v>277</v>
      </c>
      <c r="L2" s="212" t="s">
        <v>828</v>
      </c>
      <c r="M2" s="212" t="s">
        <v>829</v>
      </c>
      <c r="N2" s="212" t="s">
        <v>1246</v>
      </c>
      <c r="O2" s="212" t="s">
        <v>505</v>
      </c>
      <c r="P2" s="212" t="s">
        <v>1525</v>
      </c>
      <c r="Q2" s="212" t="s">
        <v>754</v>
      </c>
      <c r="R2" s="212" t="s">
        <v>169</v>
      </c>
      <c r="S2" s="212" t="s">
        <v>384</v>
      </c>
      <c r="T2" s="212" t="s">
        <v>618</v>
      </c>
      <c r="U2" s="212" t="s">
        <v>61</v>
      </c>
      <c r="V2" s="212" t="s">
        <v>385</v>
      </c>
      <c r="W2" s="212" t="s">
        <v>386</v>
      </c>
      <c r="X2" s="215" t="s">
        <v>755</v>
      </c>
      <c r="Y2" s="66" t="s">
        <v>1304</v>
      </c>
      <c r="Z2" s="87" t="s">
        <v>1305</v>
      </c>
      <c r="AA2" s="67" t="s">
        <v>1306</v>
      </c>
      <c r="AB2" s="68" t="s">
        <v>655</v>
      </c>
      <c r="AC2" s="220" t="s">
        <v>387</v>
      </c>
      <c r="AD2" s="221" t="s">
        <v>388</v>
      </c>
      <c r="AE2" s="222"/>
      <c r="AF2" s="66" t="s">
        <v>1304</v>
      </c>
      <c r="AG2" s="87" t="s">
        <v>1305</v>
      </c>
      <c r="AH2" s="67" t="s">
        <v>1306</v>
      </c>
      <c r="AI2" s="68" t="s">
        <v>655</v>
      </c>
      <c r="AJ2" s="223" t="s">
        <v>538</v>
      </c>
      <c r="AK2" s="224" t="s">
        <v>155</v>
      </c>
      <c r="AL2" s="225" t="s">
        <v>1786</v>
      </c>
      <c r="AM2" s="214" t="s">
        <v>389</v>
      </c>
      <c r="AN2" s="226"/>
      <c r="AO2" s="227" t="s">
        <v>93</v>
      </c>
      <c r="AP2" s="228" t="s">
        <v>95</v>
      </c>
      <c r="AQ2" s="227" t="s">
        <v>390</v>
      </c>
      <c r="AR2" s="686" t="s">
        <v>1703</v>
      </c>
      <c r="AS2" s="687" t="s">
        <v>1704</v>
      </c>
      <c r="AT2" s="687" t="s">
        <v>98</v>
      </c>
      <c r="AU2" s="687" t="s">
        <v>97</v>
      </c>
      <c r="AV2" s="233" t="s">
        <v>461</v>
      </c>
      <c r="AW2" s="234" t="s">
        <v>617</v>
      </c>
      <c r="AX2" s="688" t="s">
        <v>1198</v>
      </c>
      <c r="AY2" s="688" t="s">
        <v>1300</v>
      </c>
      <c r="AZ2" s="689" t="s">
        <v>1085</v>
      </c>
      <c r="BA2" s="688" t="s">
        <v>1070</v>
      </c>
      <c r="BB2" s="238" t="s">
        <v>391</v>
      </c>
      <c r="BC2" s="238"/>
      <c r="BD2" s="238"/>
      <c r="BE2" s="239" t="s">
        <v>392</v>
      </c>
      <c r="BF2" s="239" t="s">
        <v>93</v>
      </c>
      <c r="BG2" s="239" t="s">
        <v>393</v>
      </c>
      <c r="BH2" s="540" t="s">
        <v>4</v>
      </c>
      <c r="BI2" s="203"/>
      <c r="BJ2" s="240" t="s">
        <v>394</v>
      </c>
      <c r="BL2" s="241"/>
      <c r="BM2" s="242"/>
      <c r="BN2" s="241"/>
      <c r="BO2" s="242"/>
      <c r="BP2" s="1046"/>
      <c r="BQ2" s="575"/>
      <c r="BR2" s="1046"/>
      <c r="BS2" s="1047"/>
      <c r="BT2" s="1048"/>
      <c r="BU2" s="1047"/>
      <c r="BV2" s="209"/>
      <c r="BW2" s="209"/>
      <c r="BX2" s="20" t="s">
        <v>1599</v>
      </c>
      <c r="CA2" s="20" t="s">
        <v>395</v>
      </c>
      <c r="CB2" s="199" t="s">
        <v>396</v>
      </c>
      <c r="CC2" s="199" t="s">
        <v>917</v>
      </c>
      <c r="CD2" s="199" t="s">
        <v>918</v>
      </c>
      <c r="CE2" s="243" t="s">
        <v>397</v>
      </c>
      <c r="CF2" s="243" t="s">
        <v>398</v>
      </c>
      <c r="CG2" s="243" t="s">
        <v>399</v>
      </c>
      <c r="CH2" s="243" t="s">
        <v>400</v>
      </c>
      <c r="CI2" s="243" t="s">
        <v>401</v>
      </c>
      <c r="CJ2" s="243" t="s">
        <v>402</v>
      </c>
      <c r="CK2" s="243" t="s">
        <v>403</v>
      </c>
      <c r="CL2" s="243" t="s">
        <v>1118</v>
      </c>
      <c r="CM2" s="485" t="s">
        <v>1486</v>
      </c>
      <c r="CN2" s="198"/>
      <c r="CO2" s="198"/>
      <c r="CP2" s="244"/>
      <c r="CQ2" s="211"/>
      <c r="CR2" s="198"/>
      <c r="CS2" s="198"/>
      <c r="CT2" s="199" t="s">
        <v>1301</v>
      </c>
      <c r="CX2" s="20" t="s">
        <v>755</v>
      </c>
      <c r="CY2" s="20" t="s">
        <v>387</v>
      </c>
      <c r="CZ2" s="20"/>
      <c r="DA2" s="199" t="s">
        <v>82</v>
      </c>
      <c r="DC2" s="199" t="s">
        <v>89</v>
      </c>
      <c r="DE2" s="199" t="s">
        <v>85</v>
      </c>
      <c r="DF2" s="199" t="s">
        <v>87</v>
      </c>
      <c r="DG2" s="199" t="s">
        <v>85</v>
      </c>
      <c r="DH2" s="199" t="s">
        <v>87</v>
      </c>
      <c r="DI2" s="199" t="s">
        <v>1099</v>
      </c>
      <c r="DJ2" s="199" t="s">
        <v>1099</v>
      </c>
    </row>
    <row r="3" spans="1:97" s="26" customFormat="1" ht="2.25" customHeight="1">
      <c r="A3" s="245"/>
      <c r="B3" s="245"/>
      <c r="C3" s="245"/>
      <c r="D3" s="246"/>
      <c r="E3" s="245"/>
      <c r="F3" s="245"/>
      <c r="G3" s="245"/>
      <c r="H3" s="245"/>
      <c r="I3" s="245"/>
      <c r="J3" s="245"/>
      <c r="K3" s="245"/>
      <c r="L3" s="245"/>
      <c r="M3" s="245"/>
      <c r="N3" s="245"/>
      <c r="O3" s="245"/>
      <c r="P3" s="245"/>
      <c r="Q3" s="245"/>
      <c r="R3" s="245"/>
      <c r="S3" s="245"/>
      <c r="T3" s="245"/>
      <c r="U3" s="245"/>
      <c r="V3" s="245"/>
      <c r="W3" s="212"/>
      <c r="X3" s="215"/>
      <c r="Y3" s="690"/>
      <c r="Z3" s="690"/>
      <c r="AA3" s="690"/>
      <c r="AB3" s="690"/>
      <c r="AC3" s="220"/>
      <c r="AD3" s="105"/>
      <c r="AE3" s="251"/>
      <c r="AF3" s="690"/>
      <c r="AG3" s="690"/>
      <c r="AH3" s="690"/>
      <c r="AI3" s="690"/>
      <c r="AJ3" s="252"/>
      <c r="AK3" s="253"/>
      <c r="AL3" s="225"/>
      <c r="AM3" s="253"/>
      <c r="AN3" s="254"/>
      <c r="AO3" s="255"/>
      <c r="AP3" s="256"/>
      <c r="AQ3" s="679"/>
      <c r="AR3" s="691"/>
      <c r="AS3" s="692"/>
      <c r="AT3" s="692"/>
      <c r="AU3" s="692"/>
      <c r="AV3" s="261"/>
      <c r="AW3" s="262"/>
      <c r="AX3" s="693"/>
      <c r="AY3" s="693"/>
      <c r="AZ3" s="694"/>
      <c r="BA3" s="693"/>
      <c r="BB3" s="266"/>
      <c r="BC3" s="266"/>
      <c r="BD3" s="266"/>
      <c r="BE3" s="239"/>
      <c r="BF3" s="239"/>
      <c r="BG3" s="239"/>
      <c r="BH3" s="540"/>
      <c r="BI3" s="267"/>
      <c r="BJ3" s="268"/>
      <c r="BL3" s="269"/>
      <c r="BM3" s="270"/>
      <c r="BN3" s="241"/>
      <c r="BO3" s="242"/>
      <c r="BP3" s="271"/>
      <c r="BQ3" s="271"/>
      <c r="BR3" s="271"/>
      <c r="BS3" s="272"/>
      <c r="BT3" s="207"/>
      <c r="BU3" s="208"/>
      <c r="BV3" s="273"/>
      <c r="BW3" s="273"/>
      <c r="BZ3" s="199"/>
      <c r="CE3" s="274"/>
      <c r="CF3" s="274"/>
      <c r="CG3" s="274"/>
      <c r="CH3" s="274"/>
      <c r="CI3" s="274"/>
      <c r="CJ3" s="274"/>
      <c r="CK3" s="274"/>
      <c r="CL3" s="274"/>
      <c r="CM3" s="485" t="s">
        <v>987</v>
      </c>
      <c r="CN3" s="477"/>
      <c r="CO3" s="437"/>
      <c r="CP3" s="240"/>
      <c r="CQ3" s="240"/>
      <c r="CR3" s="210"/>
      <c r="CS3" s="210"/>
    </row>
    <row r="4" spans="1:115" s="54" customFormat="1" ht="12.75">
      <c r="A4" s="24" t="s">
        <v>873</v>
      </c>
      <c r="B4" s="69" t="s">
        <v>873</v>
      </c>
      <c r="C4" s="799" t="s">
        <v>827</v>
      </c>
      <c r="D4" s="670" t="s">
        <v>302</v>
      </c>
      <c r="E4" s="374" t="s">
        <v>877</v>
      </c>
      <c r="F4" s="15">
        <f aca="true" t="shared" si="0" ref="F4:R4">F5+LOOKUP("x",$D$6:$D$9,F$6:F$9)+LOOKUP("x",$D$10:$D$13,F$10:F$13)+LOOKUP("x",$D$14:$D$17,F$14:F$17)+LOOKUP("x",$D$18:$D$21,F$18:F$21)+LOOKUP("x",$D$22:$D$25,F$22:F$25)</f>
        <v>4</v>
      </c>
      <c r="G4" s="18">
        <f t="shared" si="0"/>
        <v>4</v>
      </c>
      <c r="H4" s="17">
        <f t="shared" si="0"/>
        <v>8</v>
      </c>
      <c r="I4" s="323">
        <f t="shared" si="0"/>
        <v>1</v>
      </c>
      <c r="J4" s="324">
        <f t="shared" si="0"/>
        <v>4</v>
      </c>
      <c r="K4" s="188">
        <f t="shared" si="0"/>
        <v>3</v>
      </c>
      <c r="L4" s="867">
        <f t="shared" si="0"/>
        <v>375</v>
      </c>
      <c r="M4" s="894">
        <f t="shared" si="0"/>
        <v>1200</v>
      </c>
      <c r="N4" s="106">
        <f t="shared" si="0"/>
        <v>400</v>
      </c>
      <c r="O4" s="455">
        <f t="shared" si="0"/>
        <v>200</v>
      </c>
      <c r="P4" s="531">
        <f t="shared" si="0"/>
        <v>50</v>
      </c>
      <c r="Q4" s="340">
        <f t="shared" si="0"/>
        <v>1954</v>
      </c>
      <c r="R4" s="98">
        <f t="shared" si="0"/>
        <v>300</v>
      </c>
      <c r="S4" s="326">
        <f>MAX($CE4:$CL4)</f>
        <v>792.7969921874999</v>
      </c>
      <c r="T4" s="342">
        <f aca="true" t="shared" si="1" ref="T4:AD4">T5+LOOKUP("x",$D$6:$D$9,T$6:T$9)+LOOKUP("x",$D$10:$D$13,T$10:T$13)+LOOKUP("x",$D$14:$D$17,T$14:T$17)+LOOKUP("x",$D$18:$D$21,T$18:T$21)+LOOKUP("x",$D$22:$D$25,T$22:T$25)</f>
        <v>12815</v>
      </c>
      <c r="U4" s="343">
        <f t="shared" si="1"/>
        <v>118000</v>
      </c>
      <c r="V4" s="344">
        <f t="shared" si="1"/>
        <v>5200</v>
      </c>
      <c r="W4" s="289">
        <f t="shared" si="1"/>
        <v>0.9729999999999999</v>
      </c>
      <c r="X4" s="340">
        <f t="shared" si="1"/>
        <v>3400</v>
      </c>
      <c r="Y4" s="43">
        <f t="shared" si="1"/>
        <v>50</v>
      </c>
      <c r="Z4" s="44">
        <f t="shared" si="1"/>
        <v>80</v>
      </c>
      <c r="AA4" s="44">
        <f t="shared" si="1"/>
        <v>62.5</v>
      </c>
      <c r="AB4" s="49">
        <f t="shared" si="1"/>
        <v>35</v>
      </c>
      <c r="AC4" s="345">
        <f t="shared" si="1"/>
        <v>2300</v>
      </c>
      <c r="AD4" s="312">
        <f t="shared" si="1"/>
        <v>1630</v>
      </c>
      <c r="AE4" s="292">
        <f>AC4/AD4</f>
        <v>1.4110429447852761</v>
      </c>
      <c r="AF4" s="46">
        <f>AF5+LOOKUP("x",$D$6:$D$9,AF$6:AF$9)+LOOKUP("x",$D$10:$D$13,AF$10:AF$13)+LOOKUP("x",$D$14:$D$17,AF$14:AF$17)+LOOKUP("x",$D$18:$D$21,AF$18:AF$21)+LOOKUP("x",$D$22:$D$25,AF$22:AF$25)</f>
        <v>0</v>
      </c>
      <c r="AG4" s="48">
        <f>AG5+LOOKUP("x",$D$6:$D$9,AG$6:AG$9)+LOOKUP("x",$D$10:$D$13,AG$10:AG$13)+LOOKUP("x",$D$14:$D$17,AG$14:AG$17)+LOOKUP("x",$D$18:$D$21,AG$18:AG$21)+LOOKUP("x",$D$22:$D$25,AG$22:AG$25)</f>
        <v>87.5</v>
      </c>
      <c r="AH4" s="48">
        <f>AH5+LOOKUP("x",$D$6:$D$9,AH$6:AH$9)+LOOKUP("x",$D$10:$D$13,AH$10:AH$13)+LOOKUP("x",$D$14:$D$17,AH$14:AH$17)+LOOKUP("x",$D$18:$D$21,AH$18:AH$21)+LOOKUP("x",$D$22:$D$25,AH$22:AH$25)</f>
        <v>70</v>
      </c>
      <c r="AI4" s="47">
        <f>AI5+LOOKUP("x",$D$6:$D$9,AI$6:AI$9)+LOOKUP("x",$D$10:$D$13,AI$10:AI$13)+LOOKUP("x",$D$14:$D$17,AI$14:AI$17)+LOOKUP("x",$D$18:$D$21,AI$18:AI$21)+LOOKUP("x",$D$22:$D$25,AI$22:AI$25)</f>
        <v>20</v>
      </c>
      <c r="AJ4" s="5">
        <f>Q4+X4+AC4</f>
        <v>7654</v>
      </c>
      <c r="AK4" s="728" t="str">
        <f>IF($X4=$AC4,"=",IF(MAX($AC4,$X4)*0.1&gt;ABS($X4-$AC4),"~",IF(MAX($AC4,$X4)=$X4,"A","S")))</f>
        <v>A</v>
      </c>
      <c r="AL4" s="862">
        <f>AL5+LOOKUP("x",$D$6:$D$9,AL$6:AL$9)+LOOKUP("x",$D$10:$D$13,AL$10:AL$13)+LOOKUP("x",$D$14:$D$17,AL$14:AL$17)+LOOKUP("x",$D$18:$D$21,AL$18:AL$21)+LOOKUP("x",$D$22:$D$25,AL$22:AL$25)</f>
        <v>1675</v>
      </c>
      <c r="AM4" s="458">
        <f>AM5+LOOKUP("x",$D$6:$D$9,AM$6:AM$9)+LOOKUP("x",$D$10:$D$13,AM$10:AM$13)+LOOKUP("x",$D$14:$D$17,AM$14:AM$17)+LOOKUP("x",$D$18:$D$21,AM$18:AM$21)+LOOKUP("x",$D$22:$D$25,AM$22:AM$25)</f>
        <v>425</v>
      </c>
      <c r="AN4" s="295">
        <f>AL4/AM4</f>
        <v>3.9411764705882355</v>
      </c>
      <c r="AO4" s="145">
        <f aca="true" t="shared" si="2" ref="AO4:BB4">AO5+LOOKUP("x",$D$6:$D$9,AO$6:AO$9)+LOOKUP("x",$D$10:$D$13,AO$10:AO$13)+LOOKUP("x",$D$14:$D$17,AO$14:AO$17)+LOOKUP("x",$D$18:$D$21,AO$18:AO$21)+LOOKUP("x",$D$22:$D$25,AO$22:AO$25)</f>
        <v>55</v>
      </c>
      <c r="AP4" s="85">
        <f t="shared" si="2"/>
        <v>5</v>
      </c>
      <c r="AQ4" s="677">
        <f t="shared" si="2"/>
        <v>280</v>
      </c>
      <c r="AR4" s="56">
        <f t="shared" si="2"/>
        <v>13</v>
      </c>
      <c r="AS4" s="34">
        <f t="shared" si="2"/>
        <v>0</v>
      </c>
      <c r="AT4" s="34">
        <f t="shared" si="2"/>
        <v>0</v>
      </c>
      <c r="AU4" s="73">
        <f t="shared" si="2"/>
        <v>0</v>
      </c>
      <c r="AV4" s="39">
        <f t="shared" si="2"/>
        <v>254</v>
      </c>
      <c r="AW4" s="143">
        <f t="shared" si="2"/>
        <v>175</v>
      </c>
      <c r="AX4" s="33">
        <f t="shared" si="2"/>
        <v>0</v>
      </c>
      <c r="AY4" s="34">
        <f t="shared" si="2"/>
        <v>0</v>
      </c>
      <c r="AZ4" s="34">
        <f t="shared" si="2"/>
        <v>0</v>
      </c>
      <c r="BA4" s="84">
        <f t="shared" si="2"/>
        <v>0</v>
      </c>
      <c r="BB4" s="747">
        <f t="shared" si="2"/>
        <v>3</v>
      </c>
      <c r="BC4" s="590"/>
      <c r="BD4" s="588"/>
      <c r="BE4" s="299"/>
      <c r="BF4" s="300"/>
      <c r="BG4" s="112"/>
      <c r="BH4" s="541"/>
      <c r="BI4" s="301"/>
      <c r="BJ4" s="655" t="s">
        <v>870</v>
      </c>
      <c r="BK4" s="13"/>
      <c r="BL4" s="303"/>
      <c r="BM4" s="86" t="s">
        <v>1686</v>
      </c>
      <c r="BN4" s="303" t="s">
        <v>104</v>
      </c>
      <c r="BO4" s="86"/>
      <c r="BP4" s="656"/>
      <c r="BQ4" s="576"/>
      <c r="BR4" s="444"/>
      <c r="BS4" s="663"/>
      <c r="BT4" s="663"/>
      <c r="BU4" s="663"/>
      <c r="BV4" s="664"/>
      <c r="BW4" s="665"/>
      <c r="BX4"/>
      <c r="BY4"/>
      <c r="BZ4" s="685">
        <f>BZ5+LOOKUP("x",$D$6:$D$9,BZ$6:BZ$9)+LOOKUP("x",$D$10:$D$13,BZ$10:BZ$13)+LOOKUP("x",$D$14:$D$17,BZ$14:BZ$17)+LOOKUP("x",$D$18:$D$21,BZ$18:BZ$21)+LOOKUP("x",$D$22:$D$25,BZ$22:BZ$25)</f>
        <v>268</v>
      </c>
      <c r="CB4" s="606"/>
      <c r="CC4" s="611"/>
      <c r="CD4" s="601"/>
      <c r="CE4" s="329">
        <f aca="true" t="shared" si="3" ref="CE4:CE66">$R4</f>
        <v>300</v>
      </c>
      <c r="CF4" s="329">
        <f aca="true" t="shared" si="4" ref="CF4:CF35">IF($F4&gt;0,$CE4*$D$95,"")</f>
        <v>382.5</v>
      </c>
      <c r="CG4" s="329">
        <f aca="true" t="shared" si="5" ref="CG4:CG35">IF($F4&gt;1,$CF4*$D$96,"")</f>
        <v>487.68749999999994</v>
      </c>
      <c r="CH4" s="329">
        <f aca="true" t="shared" si="6" ref="CH4:CH35">IF($F4&gt;2,$CG4*$D$97,"")</f>
        <v>621.8015624999999</v>
      </c>
      <c r="CI4" s="329">
        <f aca="true" t="shared" si="7" ref="CI4:CI35">IF($F4&gt;3,$CH4*$D$98,"")</f>
        <v>792.7969921874999</v>
      </c>
      <c r="CJ4" s="329">
        <f aca="true" t="shared" si="8" ref="CJ4:CJ35">IF($F4&gt;4,$CI4*$D$99,"")</f>
      </c>
      <c r="CK4" s="329">
        <f aca="true" t="shared" si="9" ref="CK4:CK35">IF($F4&gt;5,$CJ4*$D$100,"")</f>
      </c>
      <c r="CL4" s="329">
        <f aca="true" t="shared" si="10" ref="CL4:CL35">IF($F4&gt;6,$CK4*$D$101,"")</f>
      </c>
      <c r="CM4" s="485" t="s">
        <v>988</v>
      </c>
      <c r="CN4" s="723" t="s">
        <v>871</v>
      </c>
      <c r="CO4" s="835" t="s">
        <v>302</v>
      </c>
      <c r="CP4" s="836" t="s">
        <v>302</v>
      </c>
      <c r="CQ4" s="836" t="s">
        <v>302</v>
      </c>
      <c r="CR4" s="837" t="s">
        <v>302</v>
      </c>
      <c r="CS4" s="838" t="s">
        <v>302</v>
      </c>
      <c r="CT4" s="592"/>
      <c r="CU4" s="21" t="e">
        <f aca="true" t="shared" si="11" ref="CU4:CU35">CT4/CP4</f>
        <v>#VALUE!</v>
      </c>
      <c r="CV4" s="21" t="e">
        <f aca="true" t="shared" si="12" ref="CV4:CV35">CT4/CQ4</f>
        <v>#VALUE!</v>
      </c>
      <c r="CX4" s="625">
        <f aca="true" t="shared" si="13" ref="CX4:CX35">SUM(Y4:AB4)</f>
        <v>227.5</v>
      </c>
      <c r="CY4" s="626">
        <f aca="true" t="shared" si="14" ref="CY4:CY35">SUM(AF4:AI4)</f>
        <v>177.5</v>
      </c>
      <c r="CZ4" s="624" t="str">
        <f aca="true" t="shared" si="15" ref="CZ4:CZ35">AK4</f>
        <v>A</v>
      </c>
      <c r="DA4" s="634">
        <f aca="true" t="shared" si="16" ref="DA4:DA35">AW4</f>
        <v>175</v>
      </c>
      <c r="DB4" s="591">
        <f aca="true" t="shared" si="17" ref="DB4:DB35">T4*1000</f>
        <v>12815000</v>
      </c>
      <c r="DC4" s="591">
        <f aca="true" t="shared" si="18" ref="DC4:DC35">DA4*1.25</f>
        <v>218.75</v>
      </c>
      <c r="DD4" s="591">
        <v>15000</v>
      </c>
      <c r="DI4" s="54">
        <v>1.6875</v>
      </c>
      <c r="DJ4" s="54">
        <v>6.25</v>
      </c>
      <c r="DK4" s="649">
        <f aca="true" t="shared" si="19" ref="DK4:DK35">T4*W4/1000</f>
        <v>12.468995</v>
      </c>
    </row>
    <row r="5" spans="1:115" s="54" customFormat="1" ht="12.75">
      <c r="A5" s="24" t="s">
        <v>873</v>
      </c>
      <c r="B5" s="69" t="s">
        <v>873</v>
      </c>
      <c r="C5" s="308" t="s">
        <v>827</v>
      </c>
      <c r="D5" s="670" t="s">
        <v>214</v>
      </c>
      <c r="E5" s="374" t="s">
        <v>878</v>
      </c>
      <c r="F5" s="15"/>
      <c r="G5" s="18"/>
      <c r="H5" s="17"/>
      <c r="I5" s="323"/>
      <c r="J5" s="324"/>
      <c r="K5" s="188">
        <v>3</v>
      </c>
      <c r="L5" s="867"/>
      <c r="M5" s="895"/>
      <c r="N5" s="106">
        <v>400</v>
      </c>
      <c r="O5" s="455"/>
      <c r="P5" s="531"/>
      <c r="Q5" s="340">
        <v>1954</v>
      </c>
      <c r="R5" s="98"/>
      <c r="S5" s="326"/>
      <c r="T5" s="342">
        <v>6815</v>
      </c>
      <c r="U5" s="343">
        <v>118000</v>
      </c>
      <c r="V5" s="344">
        <v>5000</v>
      </c>
      <c r="W5" s="289">
        <v>0.41</v>
      </c>
      <c r="X5" s="340">
        <v>100</v>
      </c>
      <c r="Y5" s="43"/>
      <c r="Z5" s="44"/>
      <c r="AA5" s="44"/>
      <c r="AB5" s="49"/>
      <c r="AC5" s="345">
        <v>100</v>
      </c>
      <c r="AD5" s="312">
        <v>10</v>
      </c>
      <c r="AE5" s="292"/>
      <c r="AF5" s="46"/>
      <c r="AG5" s="48"/>
      <c r="AH5" s="48"/>
      <c r="AI5" s="47"/>
      <c r="AJ5" s="5"/>
      <c r="AK5" s="727"/>
      <c r="AL5" s="862">
        <v>100</v>
      </c>
      <c r="AM5" s="458">
        <v>10</v>
      </c>
      <c r="AN5" s="295"/>
      <c r="AO5" s="145"/>
      <c r="AP5" s="85" t="s">
        <v>1267</v>
      </c>
      <c r="AQ5" s="677"/>
      <c r="AR5" s="56"/>
      <c r="AS5" s="34"/>
      <c r="AT5" s="34"/>
      <c r="AU5" s="73"/>
      <c r="AV5" s="39">
        <v>100</v>
      </c>
      <c r="AW5" s="143">
        <v>10</v>
      </c>
      <c r="AX5" s="33"/>
      <c r="AY5" s="34"/>
      <c r="AZ5" s="34"/>
      <c r="BA5" s="84"/>
      <c r="BB5" s="748">
        <v>3</v>
      </c>
      <c r="BC5" s="590"/>
      <c r="BD5" s="588"/>
      <c r="BE5" s="299"/>
      <c r="BF5" s="300"/>
      <c r="BG5" s="112"/>
      <c r="BH5" s="541"/>
      <c r="BI5" s="301"/>
      <c r="BJ5" s="655" t="s">
        <v>870</v>
      </c>
      <c r="BK5" s="13"/>
      <c r="BL5" s="303" t="s">
        <v>1573</v>
      </c>
      <c r="BM5" s="86"/>
      <c r="BN5" s="303" t="s">
        <v>104</v>
      </c>
      <c r="BO5" s="86"/>
      <c r="BP5" s="656"/>
      <c r="BQ5" s="576"/>
      <c r="BR5" s="444"/>
      <c r="BS5" s="365"/>
      <c r="BT5" s="365"/>
      <c r="BU5" s="365"/>
      <c r="BV5" s="580"/>
      <c r="BW5" s="366"/>
      <c r="BX5"/>
      <c r="BY5"/>
      <c r="BZ5" s="608">
        <v>268</v>
      </c>
      <c r="CA5" s="21"/>
      <c r="CB5" s="605"/>
      <c r="CC5" s="610"/>
      <c r="CD5" s="601"/>
      <c r="CE5" s="329">
        <f t="shared" si="3"/>
        <v>0</v>
      </c>
      <c r="CF5" s="329">
        <f t="shared" si="4"/>
      </c>
      <c r="CG5" s="329">
        <f t="shared" si="5"/>
      </c>
      <c r="CH5" s="329">
        <f t="shared" si="6"/>
      </c>
      <c r="CI5" s="329">
        <f t="shared" si="7"/>
      </c>
      <c r="CJ5" s="329">
        <f t="shared" si="8"/>
      </c>
      <c r="CK5" s="329">
        <f t="shared" si="9"/>
      </c>
      <c r="CL5" s="329">
        <f t="shared" si="10"/>
      </c>
      <c r="CM5" s="485" t="s">
        <v>694</v>
      </c>
      <c r="CN5" s="724" t="s">
        <v>871</v>
      </c>
      <c r="CO5" s="440"/>
      <c r="CP5" s="392"/>
      <c r="CQ5" s="392"/>
      <c r="CR5" s="393"/>
      <c r="CS5" s="834"/>
      <c r="CT5" s="592"/>
      <c r="CU5" s="21" t="e">
        <f t="shared" si="11"/>
        <v>#DIV/0!</v>
      </c>
      <c r="CV5" s="21" t="e">
        <f t="shared" si="12"/>
        <v>#DIV/0!</v>
      </c>
      <c r="CX5" s="625">
        <f t="shared" si="13"/>
        <v>0</v>
      </c>
      <c r="CY5" s="626">
        <f t="shared" si="14"/>
        <v>0</v>
      </c>
      <c r="CZ5" s="624">
        <f t="shared" si="15"/>
        <v>0</v>
      </c>
      <c r="DA5" s="634">
        <f t="shared" si="16"/>
        <v>10</v>
      </c>
      <c r="DB5" s="591">
        <f t="shared" si="17"/>
        <v>6815000</v>
      </c>
      <c r="DC5" s="591">
        <f t="shared" si="18"/>
        <v>12.5</v>
      </c>
      <c r="DD5" s="591">
        <v>15000</v>
      </c>
      <c r="DI5" s="54">
        <v>1.6875</v>
      </c>
      <c r="DJ5" s="54">
        <v>6.25</v>
      </c>
      <c r="DK5" s="649">
        <f t="shared" si="19"/>
        <v>2.7941499999999997</v>
      </c>
    </row>
    <row r="6" spans="1:115" s="54" customFormat="1" ht="12.75">
      <c r="A6" s="24" t="s">
        <v>360</v>
      </c>
      <c r="B6" s="117"/>
      <c r="C6" s="308" t="s">
        <v>827</v>
      </c>
      <c r="D6" s="670" t="s">
        <v>214</v>
      </c>
      <c r="E6" s="374" t="s">
        <v>1688</v>
      </c>
      <c r="F6" s="15">
        <v>1</v>
      </c>
      <c r="G6" s="18"/>
      <c r="H6" s="732">
        <v>1</v>
      </c>
      <c r="I6" s="323"/>
      <c r="J6" s="324"/>
      <c r="K6" s="188"/>
      <c r="L6" s="867"/>
      <c r="M6" s="895"/>
      <c r="N6" s="106"/>
      <c r="O6" s="455"/>
      <c r="P6" s="531"/>
      <c r="Q6" s="340"/>
      <c r="R6" s="98">
        <v>300</v>
      </c>
      <c r="S6" s="326"/>
      <c r="T6" s="342">
        <v>1400</v>
      </c>
      <c r="U6" s="343"/>
      <c r="V6" s="344">
        <v>40</v>
      </c>
      <c r="W6" s="289"/>
      <c r="X6" s="340">
        <v>3300</v>
      </c>
      <c r="Y6" s="729">
        <v>50</v>
      </c>
      <c r="Z6" s="730">
        <v>80</v>
      </c>
      <c r="AA6" s="730">
        <v>62.5</v>
      </c>
      <c r="AB6" s="731">
        <v>35</v>
      </c>
      <c r="AC6" s="345">
        <v>2200</v>
      </c>
      <c r="AD6" s="312">
        <v>1620</v>
      </c>
      <c r="AE6" s="292"/>
      <c r="AF6" s="46">
        <v>0</v>
      </c>
      <c r="AG6" s="48">
        <v>87.5</v>
      </c>
      <c r="AH6" s="48">
        <v>70</v>
      </c>
      <c r="AI6" s="47">
        <v>20</v>
      </c>
      <c r="AJ6" s="5"/>
      <c r="AK6" s="727"/>
      <c r="AL6" s="862"/>
      <c r="AM6" s="458"/>
      <c r="AN6" s="295"/>
      <c r="AO6" s="145"/>
      <c r="AP6" s="85"/>
      <c r="AQ6" s="677"/>
      <c r="AR6" s="56"/>
      <c r="AS6" s="34"/>
      <c r="AT6" s="34"/>
      <c r="AU6" s="73"/>
      <c r="AV6" s="39">
        <v>154</v>
      </c>
      <c r="AW6" s="143"/>
      <c r="AX6" s="33"/>
      <c r="AY6" s="34"/>
      <c r="AZ6" s="34"/>
      <c r="BA6" s="84"/>
      <c r="BB6" s="748"/>
      <c r="BC6" s="590"/>
      <c r="BD6" s="588"/>
      <c r="BE6" s="299"/>
      <c r="BF6" s="300"/>
      <c r="BG6" s="112"/>
      <c r="BH6" s="541"/>
      <c r="BI6" s="301">
        <v>1</v>
      </c>
      <c r="BJ6" s="655" t="s">
        <v>870</v>
      </c>
      <c r="BK6" s="13" t="s">
        <v>1560</v>
      </c>
      <c r="BL6" s="303" t="s">
        <v>1071</v>
      </c>
      <c r="BM6" s="86" t="s">
        <v>1618</v>
      </c>
      <c r="BN6" s="303" t="s">
        <v>104</v>
      </c>
      <c r="BO6" s="86"/>
      <c r="BP6" s="656"/>
      <c r="BQ6" s="576"/>
      <c r="BR6" s="444"/>
      <c r="BS6" s="365"/>
      <c r="BT6" s="365"/>
      <c r="BU6" s="365"/>
      <c r="BV6" s="580"/>
      <c r="BW6" s="366"/>
      <c r="BX6"/>
      <c r="BY6"/>
      <c r="BZ6" s="1"/>
      <c r="CA6" s="21"/>
      <c r="CB6" s="605"/>
      <c r="CC6" s="610"/>
      <c r="CD6" s="601"/>
      <c r="CE6" s="329">
        <f t="shared" si="3"/>
        <v>300</v>
      </c>
      <c r="CF6" s="329">
        <f t="shared" si="4"/>
        <v>382.5</v>
      </c>
      <c r="CG6" s="329">
        <f t="shared" si="5"/>
      </c>
      <c r="CH6" s="329">
        <f t="shared" si="6"/>
      </c>
      <c r="CI6" s="329">
        <f t="shared" si="7"/>
      </c>
      <c r="CJ6" s="329">
        <f t="shared" si="8"/>
      </c>
      <c r="CK6" s="329">
        <f t="shared" si="9"/>
      </c>
      <c r="CL6" s="329">
        <f t="shared" si="10"/>
      </c>
      <c r="CM6" s="485" t="s">
        <v>694</v>
      </c>
      <c r="CN6" s="724" t="s">
        <v>871</v>
      </c>
      <c r="CO6" s="440" t="s">
        <v>267</v>
      </c>
      <c r="CP6" s="392"/>
      <c r="CQ6" s="392"/>
      <c r="CR6" s="393"/>
      <c r="CS6" s="834"/>
      <c r="CT6" s="592"/>
      <c r="CU6" s="21" t="e">
        <f t="shared" si="11"/>
        <v>#DIV/0!</v>
      </c>
      <c r="CV6" s="21" t="e">
        <f t="shared" si="12"/>
        <v>#DIV/0!</v>
      </c>
      <c r="CX6" s="625">
        <f t="shared" si="13"/>
        <v>227.5</v>
      </c>
      <c r="CY6" s="626">
        <f t="shared" si="14"/>
        <v>177.5</v>
      </c>
      <c r="CZ6" s="624">
        <f t="shared" si="15"/>
        <v>0</v>
      </c>
      <c r="DA6" s="634">
        <f t="shared" si="16"/>
        <v>0</v>
      </c>
      <c r="DB6" s="591">
        <f t="shared" si="17"/>
        <v>1400000</v>
      </c>
      <c r="DC6" s="591">
        <f t="shared" si="18"/>
        <v>0</v>
      </c>
      <c r="DD6" s="591">
        <v>15000</v>
      </c>
      <c r="DI6" s="54">
        <v>1.6875</v>
      </c>
      <c r="DJ6" s="54">
        <v>6.25</v>
      </c>
      <c r="DK6" s="649">
        <f t="shared" si="19"/>
        <v>0</v>
      </c>
    </row>
    <row r="7" spans="1:115" s="54" customFormat="1" ht="12.75">
      <c r="A7" s="24" t="s">
        <v>789</v>
      </c>
      <c r="B7" s="69"/>
      <c r="C7" s="308" t="s">
        <v>827</v>
      </c>
      <c r="D7" s="670"/>
      <c r="E7" s="374" t="s">
        <v>1688</v>
      </c>
      <c r="F7" s="15">
        <v>2</v>
      </c>
      <c r="G7" s="18"/>
      <c r="H7" s="17"/>
      <c r="I7" s="323"/>
      <c r="J7" s="324"/>
      <c r="K7" s="188"/>
      <c r="L7" s="867"/>
      <c r="M7" s="895"/>
      <c r="N7" s="106"/>
      <c r="O7" s="455"/>
      <c r="P7" s="531"/>
      <c r="Q7" s="340"/>
      <c r="R7" s="98">
        <v>300</v>
      </c>
      <c r="S7" s="326"/>
      <c r="T7" s="342">
        <v>1400</v>
      </c>
      <c r="U7" s="343"/>
      <c r="V7" s="344">
        <v>40</v>
      </c>
      <c r="W7" s="289"/>
      <c r="X7" s="919">
        <v>3600</v>
      </c>
      <c r="Y7" s="46">
        <v>50</v>
      </c>
      <c r="Z7" s="48">
        <v>80</v>
      </c>
      <c r="AA7" s="48">
        <v>62.5</v>
      </c>
      <c r="AB7" s="50">
        <v>35</v>
      </c>
      <c r="AC7" s="345">
        <v>2400</v>
      </c>
      <c r="AD7" s="312">
        <v>1620</v>
      </c>
      <c r="AE7" s="292"/>
      <c r="AF7" s="46">
        <v>0</v>
      </c>
      <c r="AG7" s="48">
        <v>87.5</v>
      </c>
      <c r="AH7" s="48">
        <v>70</v>
      </c>
      <c r="AI7" s="47">
        <v>20</v>
      </c>
      <c r="AJ7" s="5"/>
      <c r="AK7" s="727"/>
      <c r="AL7" s="862"/>
      <c r="AM7" s="458"/>
      <c r="AN7" s="295"/>
      <c r="AO7" s="145"/>
      <c r="AP7" s="85"/>
      <c r="AQ7" s="677"/>
      <c r="AR7" s="56"/>
      <c r="AS7" s="34"/>
      <c r="AT7" s="34"/>
      <c r="AU7" s="73"/>
      <c r="AV7" s="39">
        <v>140</v>
      </c>
      <c r="AW7" s="143"/>
      <c r="AX7" s="33"/>
      <c r="AY7" s="34"/>
      <c r="AZ7" s="34"/>
      <c r="BA7" s="84"/>
      <c r="BB7" s="748"/>
      <c r="BC7" s="590"/>
      <c r="BD7" s="588"/>
      <c r="BE7" s="299"/>
      <c r="BF7" s="300"/>
      <c r="BG7" s="112"/>
      <c r="BH7" s="541"/>
      <c r="BI7" s="301">
        <v>2</v>
      </c>
      <c r="BJ7" s="655" t="s">
        <v>870</v>
      </c>
      <c r="BK7" s="13" t="s">
        <v>755</v>
      </c>
      <c r="BL7" s="303" t="s">
        <v>809</v>
      </c>
      <c r="BM7" s="86" t="s">
        <v>1074</v>
      </c>
      <c r="BN7" s="303" t="s">
        <v>104</v>
      </c>
      <c r="BO7" s="86"/>
      <c r="BP7" s="656"/>
      <c r="BQ7" s="576"/>
      <c r="BR7" s="444"/>
      <c r="BS7" s="365"/>
      <c r="BT7" s="365"/>
      <c r="BU7" s="365"/>
      <c r="BV7" s="580"/>
      <c r="BW7" s="366"/>
      <c r="BX7"/>
      <c r="BY7"/>
      <c r="BZ7" s="1"/>
      <c r="CA7" s="21"/>
      <c r="CB7" s="605"/>
      <c r="CC7" s="600"/>
      <c r="CD7" s="601"/>
      <c r="CE7" s="329">
        <f t="shared" si="3"/>
        <v>300</v>
      </c>
      <c r="CF7" s="329">
        <f t="shared" si="4"/>
        <v>382.5</v>
      </c>
      <c r="CG7" s="329">
        <f t="shared" si="5"/>
        <v>487.68749999999994</v>
      </c>
      <c r="CH7" s="329">
        <f t="shared" si="6"/>
      </c>
      <c r="CI7" s="329">
        <f t="shared" si="7"/>
      </c>
      <c r="CJ7" s="329">
        <f t="shared" si="8"/>
      </c>
      <c r="CK7" s="329">
        <f t="shared" si="9"/>
      </c>
      <c r="CL7" s="329">
        <f t="shared" si="10"/>
      </c>
      <c r="CM7" s="485" t="s">
        <v>1477</v>
      </c>
      <c r="CN7" s="724" t="s">
        <v>871</v>
      </c>
      <c r="CO7" s="440"/>
      <c r="CP7" s="392"/>
      <c r="CQ7" s="392"/>
      <c r="CR7" s="393"/>
      <c r="CS7" s="834"/>
      <c r="CT7" s="592"/>
      <c r="CU7" s="21" t="e">
        <f t="shared" si="11"/>
        <v>#DIV/0!</v>
      </c>
      <c r="CV7" s="21" t="e">
        <f t="shared" si="12"/>
        <v>#DIV/0!</v>
      </c>
      <c r="CX7" s="625">
        <f t="shared" si="13"/>
        <v>227.5</v>
      </c>
      <c r="CY7" s="626">
        <f t="shared" si="14"/>
        <v>177.5</v>
      </c>
      <c r="CZ7" s="624">
        <f t="shared" si="15"/>
        <v>0</v>
      </c>
      <c r="DA7" s="634">
        <f t="shared" si="16"/>
        <v>0</v>
      </c>
      <c r="DB7" s="591">
        <f t="shared" si="17"/>
        <v>1400000</v>
      </c>
      <c r="DC7" s="591">
        <f t="shared" si="18"/>
        <v>0</v>
      </c>
      <c r="DD7" s="591">
        <v>15000</v>
      </c>
      <c r="DI7" s="54">
        <v>1.6875</v>
      </c>
      <c r="DJ7" s="54">
        <v>6.25</v>
      </c>
      <c r="DK7" s="649">
        <f t="shared" si="19"/>
        <v>0</v>
      </c>
    </row>
    <row r="8" spans="1:115" s="54" customFormat="1" ht="12.75">
      <c r="A8" s="24" t="s">
        <v>1533</v>
      </c>
      <c r="B8" s="69"/>
      <c r="C8" s="308" t="s">
        <v>827</v>
      </c>
      <c r="D8" s="670"/>
      <c r="E8" s="374" t="s">
        <v>1688</v>
      </c>
      <c r="F8" s="15">
        <v>2</v>
      </c>
      <c r="G8" s="18"/>
      <c r="H8" s="17"/>
      <c r="I8" s="323"/>
      <c r="J8" s="324"/>
      <c r="K8" s="188"/>
      <c r="L8" s="867"/>
      <c r="M8" s="895"/>
      <c r="N8" s="106"/>
      <c r="O8" s="455"/>
      <c r="P8" s="531"/>
      <c r="Q8" s="340"/>
      <c r="R8" s="98">
        <v>340</v>
      </c>
      <c r="S8" s="326"/>
      <c r="T8" s="342">
        <v>1400</v>
      </c>
      <c r="U8" s="343"/>
      <c r="V8" s="344">
        <v>40</v>
      </c>
      <c r="W8" s="289"/>
      <c r="X8" s="920">
        <v>3750</v>
      </c>
      <c r="Y8" s="46">
        <v>50</v>
      </c>
      <c r="Z8" s="48">
        <v>80</v>
      </c>
      <c r="AA8" s="48">
        <v>62.5</v>
      </c>
      <c r="AB8" s="50">
        <v>35</v>
      </c>
      <c r="AC8" s="345">
        <v>2500</v>
      </c>
      <c r="AD8" s="312">
        <v>1620</v>
      </c>
      <c r="AE8" s="292"/>
      <c r="AF8" s="46">
        <v>0</v>
      </c>
      <c r="AG8" s="48">
        <v>87.5</v>
      </c>
      <c r="AH8" s="48">
        <v>70</v>
      </c>
      <c r="AI8" s="47">
        <v>20</v>
      </c>
      <c r="AJ8" s="5"/>
      <c r="AK8" s="727"/>
      <c r="AL8" s="862"/>
      <c r="AM8" s="458"/>
      <c r="AN8" s="295"/>
      <c r="AO8" s="145"/>
      <c r="AP8" s="85"/>
      <c r="AQ8" s="677"/>
      <c r="AR8" s="56"/>
      <c r="AS8" s="34"/>
      <c r="AT8" s="34"/>
      <c r="AU8" s="73"/>
      <c r="AV8" s="39">
        <v>126</v>
      </c>
      <c r="AW8" s="143"/>
      <c r="AX8" s="33"/>
      <c r="AY8" s="34"/>
      <c r="AZ8" s="34"/>
      <c r="BA8" s="84"/>
      <c r="BB8" s="748"/>
      <c r="BC8" s="590"/>
      <c r="BD8" s="588"/>
      <c r="BE8" s="299"/>
      <c r="BF8" s="300"/>
      <c r="BG8" s="112"/>
      <c r="BH8" s="541"/>
      <c r="BI8" s="301">
        <v>3</v>
      </c>
      <c r="BJ8" s="655" t="s">
        <v>870</v>
      </c>
      <c r="BK8" s="13" t="s">
        <v>755</v>
      </c>
      <c r="BL8" s="303" t="s">
        <v>1534</v>
      </c>
      <c r="BM8" s="86" t="s">
        <v>1617</v>
      </c>
      <c r="BN8" s="303" t="s">
        <v>104</v>
      </c>
      <c r="BO8" s="86"/>
      <c r="BP8" s="656"/>
      <c r="BQ8" s="576"/>
      <c r="BR8" s="444"/>
      <c r="BS8" s="365"/>
      <c r="BT8" s="365"/>
      <c r="BU8" s="365"/>
      <c r="BV8" s="580"/>
      <c r="BW8" s="366"/>
      <c r="BX8"/>
      <c r="BY8"/>
      <c r="BZ8" s="1"/>
      <c r="CA8" s="21"/>
      <c r="CB8" s="605"/>
      <c r="CC8" s="600"/>
      <c r="CD8" s="601"/>
      <c r="CE8" s="329">
        <f t="shared" si="3"/>
        <v>340</v>
      </c>
      <c r="CF8" s="329">
        <f t="shared" si="4"/>
        <v>433.49999999999994</v>
      </c>
      <c r="CG8" s="329">
        <f t="shared" si="5"/>
        <v>552.7124999999999</v>
      </c>
      <c r="CH8" s="329">
        <f t="shared" si="6"/>
      </c>
      <c r="CI8" s="329">
        <f t="shared" si="7"/>
      </c>
      <c r="CJ8" s="329">
        <f t="shared" si="8"/>
      </c>
      <c r="CK8" s="329">
        <f t="shared" si="9"/>
      </c>
      <c r="CL8" s="329">
        <f t="shared" si="10"/>
      </c>
      <c r="CM8" s="485" t="s">
        <v>1579</v>
      </c>
      <c r="CN8" s="724" t="s">
        <v>871</v>
      </c>
      <c r="CO8" s="440" t="s">
        <v>1576</v>
      </c>
      <c r="CP8" s="392"/>
      <c r="CQ8" s="392"/>
      <c r="CR8" s="393"/>
      <c r="CS8" s="834"/>
      <c r="CT8" s="592"/>
      <c r="CU8" s="21" t="e">
        <f t="shared" si="11"/>
        <v>#DIV/0!</v>
      </c>
      <c r="CV8" s="21" t="e">
        <f t="shared" si="12"/>
        <v>#DIV/0!</v>
      </c>
      <c r="CX8" s="625">
        <f t="shared" si="13"/>
        <v>227.5</v>
      </c>
      <c r="CY8" s="626">
        <f t="shared" si="14"/>
        <v>177.5</v>
      </c>
      <c r="CZ8" s="624">
        <f t="shared" si="15"/>
        <v>0</v>
      </c>
      <c r="DA8" s="634">
        <f t="shared" si="16"/>
        <v>0</v>
      </c>
      <c r="DB8" s="591">
        <f t="shared" si="17"/>
        <v>1400000</v>
      </c>
      <c r="DC8" s="591">
        <f t="shared" si="18"/>
        <v>0</v>
      </c>
      <c r="DD8" s="591">
        <v>15000</v>
      </c>
      <c r="DI8" s="54">
        <v>1.6875</v>
      </c>
      <c r="DJ8" s="54">
        <v>6.25</v>
      </c>
      <c r="DK8" s="649">
        <f t="shared" si="19"/>
        <v>0</v>
      </c>
    </row>
    <row r="9" spans="1:115" s="54" customFormat="1" ht="12.75">
      <c r="A9" s="24" t="s">
        <v>707</v>
      </c>
      <c r="B9" s="69"/>
      <c r="C9" s="308" t="s">
        <v>827</v>
      </c>
      <c r="D9" s="670"/>
      <c r="E9" s="374" t="s">
        <v>1688</v>
      </c>
      <c r="F9" s="15">
        <v>1</v>
      </c>
      <c r="G9" s="18"/>
      <c r="H9" s="732">
        <v>1</v>
      </c>
      <c r="I9" s="323"/>
      <c r="J9" s="324"/>
      <c r="K9" s="188"/>
      <c r="L9" s="867"/>
      <c r="M9" s="895"/>
      <c r="N9" s="106"/>
      <c r="O9" s="455"/>
      <c r="P9" s="531"/>
      <c r="Q9" s="340"/>
      <c r="R9" s="98">
        <v>300</v>
      </c>
      <c r="S9" s="326"/>
      <c r="T9" s="342">
        <v>1400</v>
      </c>
      <c r="U9" s="343"/>
      <c r="V9" s="344">
        <v>40</v>
      </c>
      <c r="W9" s="289"/>
      <c r="X9" s="340">
        <v>3300</v>
      </c>
      <c r="Y9" s="46">
        <v>50</v>
      </c>
      <c r="Z9" s="48">
        <v>80</v>
      </c>
      <c r="AA9" s="48">
        <v>62.5</v>
      </c>
      <c r="AB9" s="50">
        <v>35</v>
      </c>
      <c r="AC9" s="345">
        <v>2200</v>
      </c>
      <c r="AD9" s="312">
        <v>1620</v>
      </c>
      <c r="AE9" s="292"/>
      <c r="AF9" s="46">
        <v>0</v>
      </c>
      <c r="AG9" s="48">
        <v>87.5</v>
      </c>
      <c r="AH9" s="48">
        <v>70</v>
      </c>
      <c r="AI9" s="47">
        <v>20</v>
      </c>
      <c r="AJ9" s="5"/>
      <c r="AK9" s="727"/>
      <c r="AL9" s="862"/>
      <c r="AM9" s="458"/>
      <c r="AN9" s="295"/>
      <c r="AO9" s="145"/>
      <c r="AP9" s="85"/>
      <c r="AQ9" s="677"/>
      <c r="AR9" s="56"/>
      <c r="AS9" s="34"/>
      <c r="AT9" s="34"/>
      <c r="AU9" s="73"/>
      <c r="AV9" s="39">
        <v>140</v>
      </c>
      <c r="AW9" s="143"/>
      <c r="AX9" s="33"/>
      <c r="AY9" s="34"/>
      <c r="AZ9" s="34"/>
      <c r="BA9" s="84"/>
      <c r="BB9" s="748"/>
      <c r="BC9" s="590"/>
      <c r="BD9" s="588"/>
      <c r="BE9" s="299"/>
      <c r="BF9" s="300"/>
      <c r="BG9" s="112"/>
      <c r="BH9" s="541"/>
      <c r="BI9" s="301">
        <v>4</v>
      </c>
      <c r="BJ9" s="655" t="s">
        <v>870</v>
      </c>
      <c r="BK9" s="36" t="s">
        <v>64</v>
      </c>
      <c r="BL9" s="303" t="s">
        <v>1072</v>
      </c>
      <c r="BM9" s="86" t="s">
        <v>1073</v>
      </c>
      <c r="BN9" s="303" t="s">
        <v>104</v>
      </c>
      <c r="BO9" s="86"/>
      <c r="BP9" s="656"/>
      <c r="BQ9" s="576"/>
      <c r="BR9" s="444"/>
      <c r="BS9" s="365"/>
      <c r="BT9" s="365"/>
      <c r="BU9" s="365"/>
      <c r="BV9" s="580"/>
      <c r="BW9" s="366"/>
      <c r="BX9"/>
      <c r="BY9"/>
      <c r="BZ9" s="1"/>
      <c r="CA9" s="21"/>
      <c r="CB9" s="605"/>
      <c r="CC9" s="600"/>
      <c r="CD9" s="601"/>
      <c r="CE9" s="329">
        <f t="shared" si="3"/>
        <v>300</v>
      </c>
      <c r="CF9" s="329">
        <f t="shared" si="4"/>
        <v>382.5</v>
      </c>
      <c r="CG9" s="329">
        <f t="shared" si="5"/>
      </c>
      <c r="CH9" s="329">
        <f t="shared" si="6"/>
      </c>
      <c r="CI9" s="329">
        <f t="shared" si="7"/>
      </c>
      <c r="CJ9" s="329">
        <f t="shared" si="8"/>
      </c>
      <c r="CK9" s="329">
        <f t="shared" si="9"/>
      </c>
      <c r="CL9" s="329">
        <f t="shared" si="10"/>
      </c>
      <c r="CM9" s="485" t="s">
        <v>1579</v>
      </c>
      <c r="CN9" s="724" t="s">
        <v>871</v>
      </c>
      <c r="CO9" s="440"/>
      <c r="CP9" s="392"/>
      <c r="CQ9" s="392"/>
      <c r="CR9" s="393"/>
      <c r="CS9" s="834"/>
      <c r="CT9" s="592"/>
      <c r="CU9" s="21" t="e">
        <f t="shared" si="11"/>
        <v>#DIV/0!</v>
      </c>
      <c r="CV9" s="21" t="e">
        <f t="shared" si="12"/>
        <v>#DIV/0!</v>
      </c>
      <c r="CX9" s="625">
        <f t="shared" si="13"/>
        <v>227.5</v>
      </c>
      <c r="CY9" s="626">
        <f t="shared" si="14"/>
        <v>177.5</v>
      </c>
      <c r="CZ9" s="624">
        <f t="shared" si="15"/>
        <v>0</v>
      </c>
      <c r="DA9" s="634">
        <f t="shared" si="16"/>
        <v>0</v>
      </c>
      <c r="DB9" s="591">
        <f t="shared" si="17"/>
        <v>1400000</v>
      </c>
      <c r="DC9" s="591">
        <f t="shared" si="18"/>
        <v>0</v>
      </c>
      <c r="DD9" s="591">
        <v>15000</v>
      </c>
      <c r="DI9" s="54">
        <v>1.6875</v>
      </c>
      <c r="DJ9" s="54">
        <v>6.25</v>
      </c>
      <c r="DK9" s="649">
        <f t="shared" si="19"/>
        <v>0</v>
      </c>
    </row>
    <row r="10" spans="1:115" s="54" customFormat="1" ht="12.75">
      <c r="A10" s="24" t="s">
        <v>790</v>
      </c>
      <c r="B10" s="69"/>
      <c r="C10" s="308" t="s">
        <v>827</v>
      </c>
      <c r="D10" s="670"/>
      <c r="E10" s="374" t="s">
        <v>1689</v>
      </c>
      <c r="F10" s="15"/>
      <c r="G10" s="18">
        <v>4</v>
      </c>
      <c r="H10" s="17"/>
      <c r="I10" s="323"/>
      <c r="J10" s="324"/>
      <c r="K10" s="188"/>
      <c r="L10" s="867">
        <v>380</v>
      </c>
      <c r="M10" s="895"/>
      <c r="N10" s="106"/>
      <c r="O10" s="455"/>
      <c r="P10" s="531"/>
      <c r="Q10" s="340"/>
      <c r="R10" s="98"/>
      <c r="S10" s="326"/>
      <c r="T10" s="342">
        <v>1200</v>
      </c>
      <c r="U10" s="343"/>
      <c r="V10" s="344">
        <v>40</v>
      </c>
      <c r="W10" s="289"/>
      <c r="X10" s="340"/>
      <c r="Y10" s="43"/>
      <c r="Z10" s="44"/>
      <c r="AA10" s="44"/>
      <c r="AB10" s="49"/>
      <c r="AC10" s="345"/>
      <c r="AD10" s="312"/>
      <c r="AE10" s="292"/>
      <c r="AF10" s="46"/>
      <c r="AG10" s="48"/>
      <c r="AH10" s="48"/>
      <c r="AI10" s="47"/>
      <c r="AJ10" s="5"/>
      <c r="AK10" s="727"/>
      <c r="AL10" s="862"/>
      <c r="AM10" s="458"/>
      <c r="AN10" s="295"/>
      <c r="AO10" s="905">
        <v>65</v>
      </c>
      <c r="AP10" s="85"/>
      <c r="AQ10" s="677">
        <v>260</v>
      </c>
      <c r="AR10" s="735">
        <v>17</v>
      </c>
      <c r="AS10" s="34"/>
      <c r="AT10" s="34"/>
      <c r="AU10" s="73"/>
      <c r="AV10" s="39"/>
      <c r="AW10" s="143"/>
      <c r="AX10" s="33"/>
      <c r="AY10" s="34"/>
      <c r="AZ10" s="34"/>
      <c r="BA10" s="84"/>
      <c r="BB10" s="748"/>
      <c r="BC10" s="590"/>
      <c r="BD10" s="588"/>
      <c r="BE10" s="299"/>
      <c r="BF10" s="300"/>
      <c r="BG10" s="112"/>
      <c r="BH10" s="541"/>
      <c r="BI10" s="301">
        <v>2</v>
      </c>
      <c r="BJ10" s="655" t="s">
        <v>870</v>
      </c>
      <c r="BK10" s="36" t="s">
        <v>1572</v>
      </c>
      <c r="BL10" s="303" t="s">
        <v>1504</v>
      </c>
      <c r="BM10" s="86" t="s">
        <v>1503</v>
      </c>
      <c r="BN10" s="303" t="s">
        <v>104</v>
      </c>
      <c r="BO10" s="86"/>
      <c r="BP10" s="656"/>
      <c r="BQ10" s="576"/>
      <c r="BR10" s="444"/>
      <c r="BS10" s="365"/>
      <c r="BT10" s="365"/>
      <c r="BU10" s="365"/>
      <c r="BV10" s="580"/>
      <c r="BW10" s="366"/>
      <c r="BX10"/>
      <c r="BY10"/>
      <c r="BZ10" s="1"/>
      <c r="CA10" s="21"/>
      <c r="CB10" s="605"/>
      <c r="CC10" s="610"/>
      <c r="CD10" s="601"/>
      <c r="CE10" s="329">
        <f t="shared" si="3"/>
        <v>0</v>
      </c>
      <c r="CF10" s="329">
        <f t="shared" si="4"/>
      </c>
      <c r="CG10" s="329">
        <f t="shared" si="5"/>
      </c>
      <c r="CH10" s="329">
        <f t="shared" si="6"/>
      </c>
      <c r="CI10" s="329">
        <f t="shared" si="7"/>
      </c>
      <c r="CJ10" s="329">
        <f t="shared" si="8"/>
      </c>
      <c r="CK10" s="329">
        <f t="shared" si="9"/>
      </c>
      <c r="CL10" s="329">
        <f t="shared" si="10"/>
      </c>
      <c r="CM10" s="485" t="s">
        <v>694</v>
      </c>
      <c r="CN10" s="724" t="s">
        <v>871</v>
      </c>
      <c r="CO10" s="440"/>
      <c r="CP10" s="392"/>
      <c r="CQ10" s="392"/>
      <c r="CR10" s="393"/>
      <c r="CS10" s="834"/>
      <c r="CT10" s="592"/>
      <c r="CU10" s="21" t="e">
        <f t="shared" si="11"/>
        <v>#DIV/0!</v>
      </c>
      <c r="CV10" s="21" t="e">
        <f t="shared" si="12"/>
        <v>#DIV/0!</v>
      </c>
      <c r="CX10" s="625">
        <f t="shared" si="13"/>
        <v>0</v>
      </c>
      <c r="CY10" s="626">
        <f t="shared" si="14"/>
        <v>0</v>
      </c>
      <c r="CZ10" s="624">
        <f t="shared" si="15"/>
        <v>0</v>
      </c>
      <c r="DA10" s="634">
        <f t="shared" si="16"/>
        <v>0</v>
      </c>
      <c r="DB10" s="591">
        <f t="shared" si="17"/>
        <v>1200000</v>
      </c>
      <c r="DC10" s="591">
        <f t="shared" si="18"/>
        <v>0</v>
      </c>
      <c r="DD10" s="591">
        <v>15000</v>
      </c>
      <c r="DI10" s="54">
        <v>1.6875</v>
      </c>
      <c r="DJ10" s="54">
        <v>6.25</v>
      </c>
      <c r="DK10" s="649">
        <f t="shared" si="19"/>
        <v>0</v>
      </c>
    </row>
    <row r="11" spans="1:115" s="54" customFormat="1" ht="12.75">
      <c r="A11" s="24" t="s">
        <v>708</v>
      </c>
      <c r="B11" s="69"/>
      <c r="C11" s="308" t="s">
        <v>827</v>
      </c>
      <c r="D11" s="670"/>
      <c r="E11" s="374" t="s">
        <v>1689</v>
      </c>
      <c r="F11" s="15"/>
      <c r="G11" s="18">
        <v>3</v>
      </c>
      <c r="H11" s="802">
        <v>1</v>
      </c>
      <c r="I11" s="323"/>
      <c r="J11" s="324"/>
      <c r="K11" s="188"/>
      <c r="L11" s="867">
        <v>380</v>
      </c>
      <c r="M11" s="895"/>
      <c r="N11" s="106"/>
      <c r="O11" s="455"/>
      <c r="P11" s="531"/>
      <c r="Q11" s="340"/>
      <c r="R11" s="98"/>
      <c r="S11" s="326"/>
      <c r="T11" s="342">
        <v>1200</v>
      </c>
      <c r="U11" s="343"/>
      <c r="V11" s="344">
        <v>40</v>
      </c>
      <c r="W11" s="289"/>
      <c r="X11" s="340"/>
      <c r="Y11" s="46"/>
      <c r="Z11" s="48"/>
      <c r="AA11" s="48"/>
      <c r="AB11" s="50"/>
      <c r="AC11" s="345"/>
      <c r="AD11" s="312"/>
      <c r="AE11" s="292"/>
      <c r="AF11" s="46"/>
      <c r="AG11" s="48"/>
      <c r="AH11" s="48"/>
      <c r="AI11" s="47"/>
      <c r="AJ11" s="5"/>
      <c r="AK11" s="727"/>
      <c r="AL11" s="862"/>
      <c r="AM11" s="458"/>
      <c r="AN11" s="295"/>
      <c r="AO11" s="145">
        <v>50</v>
      </c>
      <c r="AP11" s="85"/>
      <c r="AQ11" s="677">
        <v>280</v>
      </c>
      <c r="AR11" s="56">
        <v>17</v>
      </c>
      <c r="AS11" s="34"/>
      <c r="AT11" s="34"/>
      <c r="AU11" s="73"/>
      <c r="AV11" s="39"/>
      <c r="AW11" s="143"/>
      <c r="AX11" s="33"/>
      <c r="AY11" s="34"/>
      <c r="AZ11" s="34"/>
      <c r="BA11" s="84"/>
      <c r="BB11" s="748"/>
      <c r="BC11" s="590"/>
      <c r="BD11" s="588"/>
      <c r="BE11" s="299"/>
      <c r="BF11" s="300"/>
      <c r="BG11" s="112"/>
      <c r="BH11" s="541"/>
      <c r="BI11" s="301">
        <v>4</v>
      </c>
      <c r="BJ11" s="655" t="s">
        <v>870</v>
      </c>
      <c r="BK11" s="36" t="s">
        <v>600</v>
      </c>
      <c r="BL11" s="303" t="s">
        <v>1505</v>
      </c>
      <c r="BM11" s="86" t="s">
        <v>1744</v>
      </c>
      <c r="BN11" s="303" t="s">
        <v>104</v>
      </c>
      <c r="BO11" s="86"/>
      <c r="BP11" s="656"/>
      <c r="BQ11" s="576"/>
      <c r="BR11" s="444"/>
      <c r="BS11" s="365"/>
      <c r="BT11" s="365"/>
      <c r="BU11" s="365"/>
      <c r="BV11" s="580"/>
      <c r="BW11" s="366"/>
      <c r="BX11"/>
      <c r="BY11"/>
      <c r="BZ11" s="1"/>
      <c r="CA11" s="21"/>
      <c r="CB11" s="605"/>
      <c r="CC11" s="600"/>
      <c r="CD11" s="601"/>
      <c r="CE11" s="329">
        <f t="shared" si="3"/>
        <v>0</v>
      </c>
      <c r="CF11" s="329">
        <f t="shared" si="4"/>
      </c>
      <c r="CG11" s="329">
        <f t="shared" si="5"/>
      </c>
      <c r="CH11" s="329">
        <f t="shared" si="6"/>
      </c>
      <c r="CI11" s="329">
        <f t="shared" si="7"/>
      </c>
      <c r="CJ11" s="329">
        <f t="shared" si="8"/>
      </c>
      <c r="CK11" s="329">
        <f t="shared" si="9"/>
      </c>
      <c r="CL11" s="329">
        <f t="shared" si="10"/>
      </c>
      <c r="CM11" s="485" t="s">
        <v>1477</v>
      </c>
      <c r="CN11" s="724" t="s">
        <v>871</v>
      </c>
      <c r="CO11" s="440"/>
      <c r="CP11" s="392"/>
      <c r="CQ11" s="392"/>
      <c r="CR11" s="393"/>
      <c r="CS11" s="834"/>
      <c r="CT11" s="592"/>
      <c r="CU11" s="21" t="e">
        <f t="shared" si="11"/>
        <v>#DIV/0!</v>
      </c>
      <c r="CV11" s="21" t="e">
        <f t="shared" si="12"/>
        <v>#DIV/0!</v>
      </c>
      <c r="CX11" s="625">
        <f t="shared" si="13"/>
        <v>0</v>
      </c>
      <c r="CY11" s="626">
        <f t="shared" si="14"/>
        <v>0</v>
      </c>
      <c r="CZ11" s="624">
        <f t="shared" si="15"/>
        <v>0</v>
      </c>
      <c r="DA11" s="634">
        <f t="shared" si="16"/>
        <v>0</v>
      </c>
      <c r="DB11" s="591">
        <f t="shared" si="17"/>
        <v>1200000</v>
      </c>
      <c r="DC11" s="591">
        <f t="shared" si="18"/>
        <v>0</v>
      </c>
      <c r="DD11" s="591">
        <v>15000</v>
      </c>
      <c r="DI11" s="54">
        <v>1.6875</v>
      </c>
      <c r="DJ11" s="54">
        <v>6.25</v>
      </c>
      <c r="DK11" s="649">
        <f t="shared" si="19"/>
        <v>0</v>
      </c>
    </row>
    <row r="12" spans="1:115" s="54" customFormat="1" ht="12.75">
      <c r="A12" s="24" t="s">
        <v>791</v>
      </c>
      <c r="B12" s="69"/>
      <c r="C12" s="308" t="s">
        <v>827</v>
      </c>
      <c r="D12" s="670" t="s">
        <v>214</v>
      </c>
      <c r="E12" s="374" t="s">
        <v>1689</v>
      </c>
      <c r="F12" s="15"/>
      <c r="G12" s="18">
        <v>3</v>
      </c>
      <c r="H12" s="803">
        <v>1</v>
      </c>
      <c r="I12" s="323"/>
      <c r="J12" s="324"/>
      <c r="K12" s="188"/>
      <c r="L12" s="867">
        <v>375</v>
      </c>
      <c r="M12" s="895"/>
      <c r="N12" s="106"/>
      <c r="O12" s="455"/>
      <c r="P12" s="531"/>
      <c r="Q12" s="340"/>
      <c r="R12" s="98"/>
      <c r="S12" s="326"/>
      <c r="T12" s="342">
        <v>1200</v>
      </c>
      <c r="U12" s="343"/>
      <c r="V12" s="344">
        <v>40</v>
      </c>
      <c r="W12" s="289"/>
      <c r="X12" s="340"/>
      <c r="Y12" s="46"/>
      <c r="Z12" s="48"/>
      <c r="AA12" s="48"/>
      <c r="AB12" s="50"/>
      <c r="AC12" s="345"/>
      <c r="AD12" s="312"/>
      <c r="AE12" s="292"/>
      <c r="AF12" s="46"/>
      <c r="AG12" s="48"/>
      <c r="AH12" s="48"/>
      <c r="AI12" s="47"/>
      <c r="AJ12" s="5"/>
      <c r="AK12" s="727"/>
      <c r="AL12" s="862"/>
      <c r="AM12" s="458"/>
      <c r="AN12" s="295"/>
      <c r="AO12" s="145">
        <v>55</v>
      </c>
      <c r="AP12" s="85"/>
      <c r="AQ12" s="677">
        <v>280</v>
      </c>
      <c r="AR12" s="56">
        <v>13</v>
      </c>
      <c r="AS12" s="34"/>
      <c r="AT12" s="34"/>
      <c r="AU12" s="73"/>
      <c r="AV12" s="39"/>
      <c r="AW12" s="143"/>
      <c r="AX12" s="33"/>
      <c r="AY12" s="34"/>
      <c r="AZ12" s="34"/>
      <c r="BA12" s="84"/>
      <c r="BB12" s="748"/>
      <c r="BC12" s="590"/>
      <c r="BD12" s="588"/>
      <c r="BE12" s="299"/>
      <c r="BF12" s="300"/>
      <c r="BG12" s="112"/>
      <c r="BH12" s="541"/>
      <c r="BI12" s="301">
        <v>1</v>
      </c>
      <c r="BJ12" s="655" t="s">
        <v>870</v>
      </c>
      <c r="BK12" s="36" t="s">
        <v>1558</v>
      </c>
      <c r="BL12" s="303" t="s">
        <v>1465</v>
      </c>
      <c r="BM12" s="86" t="s">
        <v>1745</v>
      </c>
      <c r="BN12" s="303" t="s">
        <v>104</v>
      </c>
      <c r="BO12" s="86"/>
      <c r="BP12" s="656"/>
      <c r="BQ12" s="576"/>
      <c r="BR12" s="444"/>
      <c r="BS12" s="365"/>
      <c r="BT12" s="365"/>
      <c r="BU12" s="365"/>
      <c r="BV12" s="580"/>
      <c r="BW12" s="366"/>
      <c r="BX12"/>
      <c r="BY12"/>
      <c r="BZ12" s="1"/>
      <c r="CA12" s="21"/>
      <c r="CB12" s="605"/>
      <c r="CC12" s="600"/>
      <c r="CD12" s="601"/>
      <c r="CE12" s="329">
        <f t="shared" si="3"/>
        <v>0</v>
      </c>
      <c r="CF12" s="329">
        <f t="shared" si="4"/>
      </c>
      <c r="CG12" s="329">
        <f t="shared" si="5"/>
      </c>
      <c r="CH12" s="329">
        <f t="shared" si="6"/>
      </c>
      <c r="CI12" s="329">
        <f t="shared" si="7"/>
      </c>
      <c r="CJ12" s="329">
        <f t="shared" si="8"/>
      </c>
      <c r="CK12" s="329">
        <f t="shared" si="9"/>
      </c>
      <c r="CL12" s="329">
        <f t="shared" si="10"/>
      </c>
      <c r="CM12" s="485" t="s">
        <v>1477</v>
      </c>
      <c r="CN12" s="724" t="s">
        <v>871</v>
      </c>
      <c r="CO12" s="440" t="s">
        <v>267</v>
      </c>
      <c r="CP12" s="392"/>
      <c r="CQ12" s="392"/>
      <c r="CR12" s="393"/>
      <c r="CS12" s="834"/>
      <c r="CT12" s="592"/>
      <c r="CU12" s="21" t="e">
        <f t="shared" si="11"/>
        <v>#DIV/0!</v>
      </c>
      <c r="CV12" s="21" t="e">
        <f t="shared" si="12"/>
        <v>#DIV/0!</v>
      </c>
      <c r="CX12" s="625">
        <f t="shared" si="13"/>
        <v>0</v>
      </c>
      <c r="CY12" s="626">
        <f t="shared" si="14"/>
        <v>0</v>
      </c>
      <c r="CZ12" s="624">
        <f t="shared" si="15"/>
        <v>0</v>
      </c>
      <c r="DA12" s="634">
        <f t="shared" si="16"/>
        <v>0</v>
      </c>
      <c r="DB12" s="591">
        <f t="shared" si="17"/>
        <v>1200000</v>
      </c>
      <c r="DC12" s="591">
        <f t="shared" si="18"/>
        <v>0</v>
      </c>
      <c r="DD12" s="591">
        <v>15000</v>
      </c>
      <c r="DI12" s="54">
        <v>1.6875</v>
      </c>
      <c r="DJ12" s="54">
        <v>6.25</v>
      </c>
      <c r="DK12" s="649">
        <f t="shared" si="19"/>
        <v>0</v>
      </c>
    </row>
    <row r="13" spans="1:115" s="54" customFormat="1" ht="12.75">
      <c r="A13" s="24" t="s">
        <v>792</v>
      </c>
      <c r="B13" s="69"/>
      <c r="C13" s="308" t="s">
        <v>827</v>
      </c>
      <c r="D13" s="670"/>
      <c r="E13" s="374" t="s">
        <v>1689</v>
      </c>
      <c r="F13" s="15"/>
      <c r="G13" s="18">
        <v>4</v>
      </c>
      <c r="H13" s="17"/>
      <c r="I13" s="323"/>
      <c r="J13" s="324"/>
      <c r="K13" s="188"/>
      <c r="L13" s="867">
        <v>400</v>
      </c>
      <c r="M13" s="895"/>
      <c r="N13" s="106"/>
      <c r="O13" s="455"/>
      <c r="P13" s="531"/>
      <c r="Q13" s="340"/>
      <c r="R13" s="98"/>
      <c r="S13" s="326"/>
      <c r="T13" s="342">
        <v>1200</v>
      </c>
      <c r="U13" s="343"/>
      <c r="V13" s="344">
        <v>40</v>
      </c>
      <c r="W13" s="289"/>
      <c r="X13" s="340"/>
      <c r="Y13" s="43"/>
      <c r="Z13" s="44"/>
      <c r="AA13" s="44"/>
      <c r="AB13" s="49"/>
      <c r="AC13" s="345"/>
      <c r="AD13" s="312"/>
      <c r="AE13" s="292"/>
      <c r="AF13" s="46"/>
      <c r="AG13" s="48"/>
      <c r="AH13" s="48"/>
      <c r="AI13" s="47"/>
      <c r="AJ13" s="5"/>
      <c r="AK13" s="727"/>
      <c r="AL13" s="862"/>
      <c r="AM13" s="458"/>
      <c r="AN13" s="295"/>
      <c r="AO13" s="145">
        <v>60</v>
      </c>
      <c r="AP13" s="85"/>
      <c r="AQ13" s="734">
        <v>255</v>
      </c>
      <c r="AR13" s="56">
        <v>15</v>
      </c>
      <c r="AS13" s="34"/>
      <c r="AT13" s="34"/>
      <c r="AU13" s="73"/>
      <c r="AV13" s="846"/>
      <c r="AW13" s="143"/>
      <c r="AX13" s="33"/>
      <c r="AY13" s="34"/>
      <c r="AZ13" s="34"/>
      <c r="BA13" s="84"/>
      <c r="BB13" s="748"/>
      <c r="BC13" s="590"/>
      <c r="BD13" s="588"/>
      <c r="BE13" s="299"/>
      <c r="BF13" s="300"/>
      <c r="BG13" s="112"/>
      <c r="BH13" s="541"/>
      <c r="BI13" s="301">
        <v>3</v>
      </c>
      <c r="BJ13" s="655" t="s">
        <v>870</v>
      </c>
      <c r="BK13" s="36" t="s">
        <v>777</v>
      </c>
      <c r="BL13" s="303" t="s">
        <v>1746</v>
      </c>
      <c r="BM13" s="86" t="s">
        <v>1673</v>
      </c>
      <c r="BN13" s="303" t="s">
        <v>104</v>
      </c>
      <c r="BO13" s="86"/>
      <c r="BP13" s="656"/>
      <c r="BQ13" s="576"/>
      <c r="BR13" s="444"/>
      <c r="BS13" s="365"/>
      <c r="BT13" s="365"/>
      <c r="BU13" s="365"/>
      <c r="BV13" s="580"/>
      <c r="BW13" s="366"/>
      <c r="BX13"/>
      <c r="BY13"/>
      <c r="BZ13" s="1"/>
      <c r="CA13" s="21"/>
      <c r="CB13" s="605"/>
      <c r="CC13" s="600"/>
      <c r="CD13" s="601"/>
      <c r="CE13" s="329">
        <f t="shared" si="3"/>
        <v>0</v>
      </c>
      <c r="CF13" s="329">
        <f t="shared" si="4"/>
      </c>
      <c r="CG13" s="329">
        <f t="shared" si="5"/>
      </c>
      <c r="CH13" s="329">
        <f t="shared" si="6"/>
      </c>
      <c r="CI13" s="329">
        <f t="shared" si="7"/>
      </c>
      <c r="CJ13" s="329">
        <f t="shared" si="8"/>
      </c>
      <c r="CK13" s="329">
        <f t="shared" si="9"/>
      </c>
      <c r="CL13" s="329">
        <f t="shared" si="10"/>
      </c>
      <c r="CM13" s="485" t="s">
        <v>1579</v>
      </c>
      <c r="CN13" s="724" t="s">
        <v>871</v>
      </c>
      <c r="CO13" s="440" t="s">
        <v>1576</v>
      </c>
      <c r="CP13" s="392"/>
      <c r="CQ13" s="392"/>
      <c r="CR13" s="393"/>
      <c r="CS13" s="834"/>
      <c r="CT13" s="592"/>
      <c r="CU13" s="21" t="e">
        <f t="shared" si="11"/>
        <v>#DIV/0!</v>
      </c>
      <c r="CV13" s="21" t="e">
        <f t="shared" si="12"/>
        <v>#DIV/0!</v>
      </c>
      <c r="CX13" s="625">
        <f t="shared" si="13"/>
        <v>0</v>
      </c>
      <c r="CY13" s="626">
        <f t="shared" si="14"/>
        <v>0</v>
      </c>
      <c r="CZ13" s="624">
        <f t="shared" si="15"/>
        <v>0</v>
      </c>
      <c r="DA13" s="634">
        <f t="shared" si="16"/>
        <v>0</v>
      </c>
      <c r="DB13" s="591">
        <f t="shared" si="17"/>
        <v>1200000</v>
      </c>
      <c r="DC13" s="591">
        <f t="shared" si="18"/>
        <v>0</v>
      </c>
      <c r="DD13" s="591">
        <v>15000</v>
      </c>
      <c r="DI13" s="54">
        <v>1.6875</v>
      </c>
      <c r="DJ13" s="54">
        <v>6.25</v>
      </c>
      <c r="DK13" s="649">
        <f t="shared" si="19"/>
        <v>0</v>
      </c>
    </row>
    <row r="14" spans="1:115" s="54" customFormat="1" ht="12.75">
      <c r="A14" s="24" t="s">
        <v>793</v>
      </c>
      <c r="B14" s="69"/>
      <c r="C14" s="308" t="s">
        <v>827</v>
      </c>
      <c r="D14" s="670"/>
      <c r="E14" s="374" t="s">
        <v>490</v>
      </c>
      <c r="F14" s="15">
        <v>2</v>
      </c>
      <c r="G14" s="18"/>
      <c r="H14" s="17">
        <v>1</v>
      </c>
      <c r="I14" s="323"/>
      <c r="J14" s="324">
        <v>1</v>
      </c>
      <c r="K14" s="188"/>
      <c r="L14" s="867"/>
      <c r="M14" s="895">
        <v>1125</v>
      </c>
      <c r="N14" s="106"/>
      <c r="O14" s="455"/>
      <c r="P14" s="531"/>
      <c r="Q14" s="340"/>
      <c r="R14" s="98"/>
      <c r="S14" s="326"/>
      <c r="T14" s="342">
        <v>1200</v>
      </c>
      <c r="U14" s="343"/>
      <c r="V14" s="344">
        <v>40</v>
      </c>
      <c r="W14" s="289"/>
      <c r="X14" s="340"/>
      <c r="Y14" s="43"/>
      <c r="Z14" s="44"/>
      <c r="AA14" s="44"/>
      <c r="AB14" s="49"/>
      <c r="AC14" s="345"/>
      <c r="AD14" s="312"/>
      <c r="AE14" s="292"/>
      <c r="AF14" s="46"/>
      <c r="AG14" s="48"/>
      <c r="AH14" s="48"/>
      <c r="AI14" s="47"/>
      <c r="AJ14" s="5"/>
      <c r="AK14" s="727"/>
      <c r="AL14" s="904">
        <v>2225</v>
      </c>
      <c r="AM14" s="458">
        <v>415</v>
      </c>
      <c r="AN14" s="295"/>
      <c r="AO14" s="145"/>
      <c r="AP14" s="85"/>
      <c r="AQ14" s="677"/>
      <c r="AR14" s="56"/>
      <c r="AS14" s="34"/>
      <c r="AT14" s="34"/>
      <c r="AU14" s="73"/>
      <c r="AV14" s="39"/>
      <c r="AW14" s="143"/>
      <c r="AX14" s="33"/>
      <c r="AY14" s="34"/>
      <c r="AZ14" s="34"/>
      <c r="BA14" s="84"/>
      <c r="BB14" s="748"/>
      <c r="BC14" s="590"/>
      <c r="BD14" s="588"/>
      <c r="BE14" s="299"/>
      <c r="BF14" s="300"/>
      <c r="BG14" s="112"/>
      <c r="BH14" s="541"/>
      <c r="BI14" s="301">
        <v>2</v>
      </c>
      <c r="BJ14" s="655" t="s">
        <v>870</v>
      </c>
      <c r="BK14" s="36" t="s">
        <v>488</v>
      </c>
      <c r="BL14" s="303" t="s">
        <v>373</v>
      </c>
      <c r="BM14" s="86" t="s">
        <v>1681</v>
      </c>
      <c r="BN14" s="303" t="s">
        <v>104</v>
      </c>
      <c r="BO14" s="86"/>
      <c r="BP14" s="656"/>
      <c r="BQ14" s="576"/>
      <c r="BR14" s="444"/>
      <c r="BS14" s="365"/>
      <c r="BT14" s="365"/>
      <c r="BU14" s="365"/>
      <c r="BV14" s="580"/>
      <c r="BW14" s="366"/>
      <c r="BX14"/>
      <c r="BY14"/>
      <c r="BZ14" s="1"/>
      <c r="CA14" s="21"/>
      <c r="CB14" s="605"/>
      <c r="CC14" s="610"/>
      <c r="CD14" s="601"/>
      <c r="CE14" s="329">
        <f t="shared" si="3"/>
        <v>0</v>
      </c>
      <c r="CF14" s="329">
        <f t="shared" si="4"/>
        <v>0</v>
      </c>
      <c r="CG14" s="329">
        <f t="shared" si="5"/>
        <v>0</v>
      </c>
      <c r="CH14" s="329">
        <f t="shared" si="6"/>
      </c>
      <c r="CI14" s="329">
        <f t="shared" si="7"/>
      </c>
      <c r="CJ14" s="329">
        <f t="shared" si="8"/>
      </c>
      <c r="CK14" s="329">
        <f t="shared" si="9"/>
      </c>
      <c r="CL14" s="329">
        <f t="shared" si="10"/>
      </c>
      <c r="CM14" s="485" t="s">
        <v>694</v>
      </c>
      <c r="CN14" s="724" t="s">
        <v>871</v>
      </c>
      <c r="CO14" s="440"/>
      <c r="CP14" s="392"/>
      <c r="CQ14" s="392"/>
      <c r="CR14" s="393"/>
      <c r="CS14" s="834"/>
      <c r="CT14" s="592"/>
      <c r="CU14" s="21" t="e">
        <f t="shared" si="11"/>
        <v>#DIV/0!</v>
      </c>
      <c r="CV14" s="21" t="e">
        <f t="shared" si="12"/>
        <v>#DIV/0!</v>
      </c>
      <c r="CX14" s="625">
        <f t="shared" si="13"/>
        <v>0</v>
      </c>
      <c r="CY14" s="626">
        <f t="shared" si="14"/>
        <v>0</v>
      </c>
      <c r="CZ14" s="624">
        <f t="shared" si="15"/>
        <v>0</v>
      </c>
      <c r="DA14" s="634">
        <f t="shared" si="16"/>
        <v>0</v>
      </c>
      <c r="DB14" s="591">
        <f t="shared" si="17"/>
        <v>1200000</v>
      </c>
      <c r="DC14" s="591">
        <f t="shared" si="18"/>
        <v>0</v>
      </c>
      <c r="DD14" s="591">
        <v>15000</v>
      </c>
      <c r="DI14" s="54">
        <v>1.6875</v>
      </c>
      <c r="DJ14" s="54">
        <v>6.25</v>
      </c>
      <c r="DK14" s="649">
        <f t="shared" si="19"/>
        <v>0</v>
      </c>
    </row>
    <row r="15" spans="1:115" s="54" customFormat="1" ht="12.75">
      <c r="A15" s="24" t="s">
        <v>794</v>
      </c>
      <c r="B15" s="69"/>
      <c r="C15" s="308" t="s">
        <v>827</v>
      </c>
      <c r="D15" s="670"/>
      <c r="E15" s="374" t="s">
        <v>490</v>
      </c>
      <c r="F15" s="15">
        <v>3</v>
      </c>
      <c r="G15" s="18"/>
      <c r="H15" s="17"/>
      <c r="I15" s="323"/>
      <c r="J15" s="324"/>
      <c r="K15" s="188"/>
      <c r="L15" s="867"/>
      <c r="M15" s="895">
        <v>1290</v>
      </c>
      <c r="N15" s="106"/>
      <c r="O15" s="455"/>
      <c r="P15" s="531"/>
      <c r="Q15" s="340"/>
      <c r="R15" s="98"/>
      <c r="S15" s="326"/>
      <c r="T15" s="342">
        <v>1200</v>
      </c>
      <c r="U15" s="343"/>
      <c r="V15" s="344">
        <v>40</v>
      </c>
      <c r="W15" s="289"/>
      <c r="X15" s="340"/>
      <c r="Y15" s="46"/>
      <c r="Z15" s="48"/>
      <c r="AA15" s="48"/>
      <c r="AB15" s="50"/>
      <c r="AC15" s="345"/>
      <c r="AD15" s="312"/>
      <c r="AE15" s="292"/>
      <c r="AF15" s="46"/>
      <c r="AG15" s="48"/>
      <c r="AH15" s="48"/>
      <c r="AI15" s="47"/>
      <c r="AJ15" s="5"/>
      <c r="AK15" s="727"/>
      <c r="AL15" s="862">
        <v>2225</v>
      </c>
      <c r="AM15" s="733">
        <v>415</v>
      </c>
      <c r="AN15" s="295"/>
      <c r="AO15" s="145"/>
      <c r="AP15" s="85"/>
      <c r="AQ15" s="677"/>
      <c r="AR15" s="56"/>
      <c r="AS15" s="34"/>
      <c r="AT15" s="34"/>
      <c r="AU15" s="73"/>
      <c r="AV15" s="39"/>
      <c r="AW15" s="143"/>
      <c r="AX15" s="33"/>
      <c r="AY15" s="34"/>
      <c r="AZ15" s="34"/>
      <c r="BA15" s="84"/>
      <c r="BB15" s="748"/>
      <c r="BC15" s="590"/>
      <c r="BD15" s="588"/>
      <c r="BE15" s="299"/>
      <c r="BF15" s="300"/>
      <c r="BG15" s="112"/>
      <c r="BH15" s="541"/>
      <c r="BI15" s="301">
        <v>3</v>
      </c>
      <c r="BJ15" s="655" t="s">
        <v>870</v>
      </c>
      <c r="BK15" s="36" t="s">
        <v>488</v>
      </c>
      <c r="BL15" s="303" t="s">
        <v>374</v>
      </c>
      <c r="BM15" s="86" t="s">
        <v>1682</v>
      </c>
      <c r="BN15" s="303" t="s">
        <v>104</v>
      </c>
      <c r="BO15" s="86"/>
      <c r="BP15" s="656"/>
      <c r="BQ15" s="576"/>
      <c r="BR15" s="444"/>
      <c r="BS15" s="365"/>
      <c r="BT15" s="365"/>
      <c r="BU15" s="365"/>
      <c r="BV15" s="580"/>
      <c r="BW15" s="366"/>
      <c r="BX15"/>
      <c r="BY15"/>
      <c r="BZ15" s="1"/>
      <c r="CA15" s="21"/>
      <c r="CB15" s="605"/>
      <c r="CC15" s="600"/>
      <c r="CD15" s="601"/>
      <c r="CE15" s="329">
        <f t="shared" si="3"/>
        <v>0</v>
      </c>
      <c r="CF15" s="329">
        <f t="shared" si="4"/>
        <v>0</v>
      </c>
      <c r="CG15" s="329">
        <f t="shared" si="5"/>
        <v>0</v>
      </c>
      <c r="CH15" s="329">
        <f t="shared" si="6"/>
        <v>0</v>
      </c>
      <c r="CI15" s="329">
        <f t="shared" si="7"/>
      </c>
      <c r="CJ15" s="329">
        <f t="shared" si="8"/>
      </c>
      <c r="CK15" s="329">
        <f t="shared" si="9"/>
      </c>
      <c r="CL15" s="329">
        <f t="shared" si="10"/>
      </c>
      <c r="CM15" s="485" t="s">
        <v>1477</v>
      </c>
      <c r="CN15" s="724" t="s">
        <v>871</v>
      </c>
      <c r="CO15" s="440"/>
      <c r="CP15" s="392"/>
      <c r="CQ15" s="392"/>
      <c r="CR15" s="393"/>
      <c r="CS15" s="834"/>
      <c r="CT15" s="592"/>
      <c r="CU15" s="21" t="e">
        <f t="shared" si="11"/>
        <v>#DIV/0!</v>
      </c>
      <c r="CV15" s="21" t="e">
        <f t="shared" si="12"/>
        <v>#DIV/0!</v>
      </c>
      <c r="CX15" s="625">
        <f t="shared" si="13"/>
        <v>0</v>
      </c>
      <c r="CY15" s="626">
        <f t="shared" si="14"/>
        <v>0</v>
      </c>
      <c r="CZ15" s="624">
        <f t="shared" si="15"/>
        <v>0</v>
      </c>
      <c r="DA15" s="634">
        <f t="shared" si="16"/>
        <v>0</v>
      </c>
      <c r="DB15" s="591">
        <f t="shared" si="17"/>
        <v>1200000</v>
      </c>
      <c r="DC15" s="591">
        <f t="shared" si="18"/>
        <v>0</v>
      </c>
      <c r="DD15" s="591">
        <v>15000</v>
      </c>
      <c r="DI15" s="54">
        <v>1.6875</v>
      </c>
      <c r="DJ15" s="54">
        <v>6.25</v>
      </c>
      <c r="DK15" s="649">
        <f t="shared" si="19"/>
        <v>0</v>
      </c>
    </row>
    <row r="16" spans="1:115" s="54" customFormat="1" ht="12.75">
      <c r="A16" s="24" t="s">
        <v>795</v>
      </c>
      <c r="B16" s="69"/>
      <c r="C16" s="308" t="s">
        <v>827</v>
      </c>
      <c r="D16" s="670" t="s">
        <v>214</v>
      </c>
      <c r="E16" s="374" t="s">
        <v>490</v>
      </c>
      <c r="F16" s="15">
        <v>2</v>
      </c>
      <c r="G16" s="18"/>
      <c r="H16" s="17">
        <v>1</v>
      </c>
      <c r="I16" s="323">
        <v>1</v>
      </c>
      <c r="J16" s="324">
        <v>1</v>
      </c>
      <c r="K16" s="188"/>
      <c r="L16" s="867"/>
      <c r="M16" s="896">
        <v>1200</v>
      </c>
      <c r="N16" s="106"/>
      <c r="O16" s="455"/>
      <c r="P16" s="531"/>
      <c r="Q16" s="340"/>
      <c r="R16" s="98"/>
      <c r="S16" s="326"/>
      <c r="T16" s="342">
        <v>1200</v>
      </c>
      <c r="U16" s="343"/>
      <c r="V16" s="344">
        <v>40</v>
      </c>
      <c r="W16" s="289"/>
      <c r="X16" s="340"/>
      <c r="Y16" s="43"/>
      <c r="Z16" s="44"/>
      <c r="AA16" s="44"/>
      <c r="AB16" s="49"/>
      <c r="AC16" s="345"/>
      <c r="AD16" s="312"/>
      <c r="AE16" s="292"/>
      <c r="AF16" s="46"/>
      <c r="AG16" s="48"/>
      <c r="AH16" s="48"/>
      <c r="AI16" s="47"/>
      <c r="AJ16" s="5"/>
      <c r="AK16" s="727"/>
      <c r="AL16" s="862">
        <v>1575</v>
      </c>
      <c r="AM16" s="458">
        <v>415</v>
      </c>
      <c r="AN16" s="295"/>
      <c r="AO16" s="145"/>
      <c r="AP16" s="85"/>
      <c r="AQ16" s="677"/>
      <c r="AR16" s="56"/>
      <c r="AS16" s="34"/>
      <c r="AT16" s="34"/>
      <c r="AU16" s="73"/>
      <c r="AV16" s="39"/>
      <c r="AW16" s="143"/>
      <c r="AX16" s="33"/>
      <c r="AY16" s="34"/>
      <c r="AZ16" s="34"/>
      <c r="BA16" s="84"/>
      <c r="BB16" s="748"/>
      <c r="BC16" s="590"/>
      <c r="BD16" s="588"/>
      <c r="BE16" s="299"/>
      <c r="BF16" s="300"/>
      <c r="BG16" s="112"/>
      <c r="BH16" s="541"/>
      <c r="BI16" s="301">
        <v>1</v>
      </c>
      <c r="BJ16" s="655" t="s">
        <v>870</v>
      </c>
      <c r="BK16" s="36" t="s">
        <v>1559</v>
      </c>
      <c r="BL16" s="303" t="s">
        <v>375</v>
      </c>
      <c r="BM16" s="86" t="s">
        <v>1683</v>
      </c>
      <c r="BN16" s="303" t="s">
        <v>104</v>
      </c>
      <c r="BO16" s="86"/>
      <c r="BP16" s="656"/>
      <c r="BQ16" s="576"/>
      <c r="BR16" s="444"/>
      <c r="BS16" s="365"/>
      <c r="BT16" s="365"/>
      <c r="BU16" s="365"/>
      <c r="BV16" s="580"/>
      <c r="BW16" s="366"/>
      <c r="BX16"/>
      <c r="BY16"/>
      <c r="BZ16" s="1"/>
      <c r="CA16" s="21"/>
      <c r="CB16" s="605"/>
      <c r="CC16" s="600"/>
      <c r="CD16" s="601"/>
      <c r="CE16" s="329">
        <f t="shared" si="3"/>
        <v>0</v>
      </c>
      <c r="CF16" s="329">
        <f t="shared" si="4"/>
        <v>0</v>
      </c>
      <c r="CG16" s="329">
        <f t="shared" si="5"/>
        <v>0</v>
      </c>
      <c r="CH16" s="329">
        <f t="shared" si="6"/>
      </c>
      <c r="CI16" s="329">
        <f t="shared" si="7"/>
      </c>
      <c r="CJ16" s="329">
        <f t="shared" si="8"/>
      </c>
      <c r="CK16" s="329">
        <f t="shared" si="9"/>
      </c>
      <c r="CL16" s="329">
        <f t="shared" si="10"/>
      </c>
      <c r="CM16" s="485" t="s">
        <v>1579</v>
      </c>
      <c r="CN16" s="724" t="s">
        <v>871</v>
      </c>
      <c r="CO16" s="440" t="s">
        <v>267</v>
      </c>
      <c r="CP16" s="392"/>
      <c r="CQ16" s="392"/>
      <c r="CR16" s="393"/>
      <c r="CS16" s="834"/>
      <c r="CT16" s="592"/>
      <c r="CU16" s="21" t="e">
        <f t="shared" si="11"/>
        <v>#DIV/0!</v>
      </c>
      <c r="CV16" s="21" t="e">
        <f t="shared" si="12"/>
        <v>#DIV/0!</v>
      </c>
      <c r="CX16" s="625">
        <f t="shared" si="13"/>
        <v>0</v>
      </c>
      <c r="CY16" s="626">
        <f t="shared" si="14"/>
        <v>0</v>
      </c>
      <c r="CZ16" s="624">
        <f t="shared" si="15"/>
        <v>0</v>
      </c>
      <c r="DA16" s="634">
        <f t="shared" si="16"/>
        <v>0</v>
      </c>
      <c r="DB16" s="591">
        <f t="shared" si="17"/>
        <v>1200000</v>
      </c>
      <c r="DC16" s="591">
        <f t="shared" si="18"/>
        <v>0</v>
      </c>
      <c r="DD16" s="591">
        <v>15000</v>
      </c>
      <c r="DI16" s="54">
        <v>1.6875</v>
      </c>
      <c r="DJ16" s="54">
        <v>6.25</v>
      </c>
      <c r="DK16" s="649">
        <f t="shared" si="19"/>
        <v>0</v>
      </c>
    </row>
    <row r="17" spans="1:115" s="54" customFormat="1" ht="12.75">
      <c r="A17" s="24" t="s">
        <v>709</v>
      </c>
      <c r="B17" s="69"/>
      <c r="C17" s="308" t="s">
        <v>827</v>
      </c>
      <c r="D17" s="670"/>
      <c r="E17" s="374" t="s">
        <v>490</v>
      </c>
      <c r="F17" s="15">
        <v>3</v>
      </c>
      <c r="G17" s="18"/>
      <c r="H17" s="17"/>
      <c r="I17" s="323"/>
      <c r="J17" s="324"/>
      <c r="K17" s="188"/>
      <c r="L17" s="867"/>
      <c r="M17" s="897">
        <v>1290</v>
      </c>
      <c r="N17" s="106"/>
      <c r="O17" s="455"/>
      <c r="P17" s="531"/>
      <c r="Q17" s="340"/>
      <c r="R17" s="98"/>
      <c r="S17" s="326"/>
      <c r="T17" s="342">
        <v>1200</v>
      </c>
      <c r="U17" s="343"/>
      <c r="V17" s="344">
        <v>40</v>
      </c>
      <c r="W17" s="289"/>
      <c r="X17" s="340"/>
      <c r="Y17" s="43"/>
      <c r="Z17" s="44"/>
      <c r="AA17" s="44"/>
      <c r="AB17" s="49"/>
      <c r="AC17" s="345"/>
      <c r="AD17" s="312"/>
      <c r="AE17" s="292"/>
      <c r="AF17" s="46"/>
      <c r="AG17" s="48"/>
      <c r="AH17" s="48"/>
      <c r="AI17" s="47"/>
      <c r="AJ17" s="5"/>
      <c r="AK17" s="727"/>
      <c r="AL17" s="862">
        <v>1575</v>
      </c>
      <c r="AM17" s="458">
        <v>415</v>
      </c>
      <c r="AN17" s="295"/>
      <c r="AO17" s="145"/>
      <c r="AP17" s="85"/>
      <c r="AQ17" s="677"/>
      <c r="AR17" s="56"/>
      <c r="AS17" s="34"/>
      <c r="AT17" s="34"/>
      <c r="AU17" s="73"/>
      <c r="AV17" s="39"/>
      <c r="AW17" s="143"/>
      <c r="AX17" s="33"/>
      <c r="AY17" s="34"/>
      <c r="AZ17" s="34"/>
      <c r="BA17" s="84"/>
      <c r="BB17" s="748"/>
      <c r="BC17" s="590"/>
      <c r="BD17" s="588"/>
      <c r="BE17" s="299"/>
      <c r="BF17" s="300"/>
      <c r="BG17" s="112"/>
      <c r="BH17" s="541"/>
      <c r="BI17" s="301">
        <v>4</v>
      </c>
      <c r="BJ17" s="655" t="s">
        <v>870</v>
      </c>
      <c r="BK17" s="36" t="s">
        <v>1684</v>
      </c>
      <c r="BL17" s="303" t="s">
        <v>1685</v>
      </c>
      <c r="BM17" s="86" t="s">
        <v>1784</v>
      </c>
      <c r="BN17" s="303" t="s">
        <v>104</v>
      </c>
      <c r="BO17" s="86"/>
      <c r="BP17" s="656"/>
      <c r="BQ17" s="576"/>
      <c r="BR17" s="444"/>
      <c r="BS17" s="365"/>
      <c r="BT17" s="365"/>
      <c r="BU17" s="365"/>
      <c r="BV17" s="580"/>
      <c r="BW17" s="366"/>
      <c r="BX17"/>
      <c r="BY17"/>
      <c r="BZ17" s="1"/>
      <c r="CA17" s="21"/>
      <c r="CB17" s="605"/>
      <c r="CC17" s="600"/>
      <c r="CD17" s="601"/>
      <c r="CE17" s="329">
        <f t="shared" si="3"/>
        <v>0</v>
      </c>
      <c r="CF17" s="329">
        <f t="shared" si="4"/>
        <v>0</v>
      </c>
      <c r="CG17" s="329">
        <f t="shared" si="5"/>
        <v>0</v>
      </c>
      <c r="CH17" s="329">
        <f t="shared" si="6"/>
        <v>0</v>
      </c>
      <c r="CI17" s="329">
        <f t="shared" si="7"/>
      </c>
      <c r="CJ17" s="329">
        <f t="shared" si="8"/>
      </c>
      <c r="CK17" s="329">
        <f t="shared" si="9"/>
      </c>
      <c r="CL17" s="329">
        <f t="shared" si="10"/>
      </c>
      <c r="CM17" s="485" t="s">
        <v>1579</v>
      </c>
      <c r="CN17" s="724" t="s">
        <v>871</v>
      </c>
      <c r="CO17" s="440" t="s">
        <v>1576</v>
      </c>
      <c r="CP17" s="392"/>
      <c r="CQ17" s="392"/>
      <c r="CR17" s="393"/>
      <c r="CS17" s="834"/>
      <c r="CT17" s="592"/>
      <c r="CU17" s="21" t="e">
        <f t="shared" si="11"/>
        <v>#DIV/0!</v>
      </c>
      <c r="CV17" s="21" t="e">
        <f t="shared" si="12"/>
        <v>#DIV/0!</v>
      </c>
      <c r="CX17" s="625">
        <f t="shared" si="13"/>
        <v>0</v>
      </c>
      <c r="CY17" s="626">
        <f t="shared" si="14"/>
        <v>0</v>
      </c>
      <c r="CZ17" s="624">
        <f t="shared" si="15"/>
        <v>0</v>
      </c>
      <c r="DA17" s="634">
        <f t="shared" si="16"/>
        <v>0</v>
      </c>
      <c r="DB17" s="591">
        <f t="shared" si="17"/>
        <v>1200000</v>
      </c>
      <c r="DC17" s="591">
        <f t="shared" si="18"/>
        <v>0</v>
      </c>
      <c r="DD17" s="591">
        <v>15000</v>
      </c>
      <c r="DI17" s="54">
        <v>1.6875</v>
      </c>
      <c r="DJ17" s="54">
        <v>6.25</v>
      </c>
      <c r="DK17" s="649">
        <f t="shared" si="19"/>
        <v>0</v>
      </c>
    </row>
    <row r="18" spans="1:115" s="54" customFormat="1" ht="12.75">
      <c r="A18" s="24" t="s">
        <v>1727</v>
      </c>
      <c r="B18" s="69"/>
      <c r="C18" s="308" t="s">
        <v>827</v>
      </c>
      <c r="D18" s="670"/>
      <c r="E18" s="374" t="s">
        <v>1690</v>
      </c>
      <c r="F18" s="15">
        <v>1</v>
      </c>
      <c r="G18" s="18"/>
      <c r="H18" s="17">
        <v>5</v>
      </c>
      <c r="I18" s="740">
        <v>5</v>
      </c>
      <c r="J18" s="845"/>
      <c r="K18" s="188"/>
      <c r="L18" s="867">
        <v>40</v>
      </c>
      <c r="M18" s="895"/>
      <c r="N18" s="106"/>
      <c r="O18" s="455"/>
      <c r="P18" s="531"/>
      <c r="Q18" s="340"/>
      <c r="R18" s="98"/>
      <c r="S18" s="326"/>
      <c r="T18" s="342">
        <v>800</v>
      </c>
      <c r="U18" s="343"/>
      <c r="V18" s="344">
        <v>40</v>
      </c>
      <c r="W18" s="289"/>
      <c r="X18" s="340"/>
      <c r="Y18" s="43"/>
      <c r="Z18" s="44"/>
      <c r="AA18" s="44"/>
      <c r="AB18" s="49"/>
      <c r="AC18" s="345"/>
      <c r="AD18" s="312"/>
      <c r="AE18" s="292"/>
      <c r="AF18" s="46"/>
      <c r="AG18" s="48"/>
      <c r="AH18" s="48"/>
      <c r="AI18" s="47"/>
      <c r="AJ18" s="5"/>
      <c r="AK18" s="727"/>
      <c r="AL18" s="862"/>
      <c r="AM18" s="458"/>
      <c r="AN18" s="295"/>
      <c r="AO18" s="145"/>
      <c r="AP18" s="85"/>
      <c r="AQ18" s="677"/>
      <c r="AR18" s="56"/>
      <c r="AS18" s="34"/>
      <c r="AT18" s="34"/>
      <c r="AU18" s="73"/>
      <c r="AV18" s="39"/>
      <c r="AW18" s="143"/>
      <c r="AX18" s="33"/>
      <c r="AY18" s="34"/>
      <c r="AZ18" s="34"/>
      <c r="BA18" s="84"/>
      <c r="BB18" s="748"/>
      <c r="BC18" s="590"/>
      <c r="BD18" s="588"/>
      <c r="BE18" s="299"/>
      <c r="BF18" s="300"/>
      <c r="BG18" s="112"/>
      <c r="BH18" s="541"/>
      <c r="BI18" s="301">
        <v>2</v>
      </c>
      <c r="BJ18" s="655" t="s">
        <v>870</v>
      </c>
      <c r="BK18" s="36" t="s">
        <v>1061</v>
      </c>
      <c r="BL18" s="303" t="s">
        <v>1730</v>
      </c>
      <c r="BM18" s="86" t="s">
        <v>1728</v>
      </c>
      <c r="BN18" s="303" t="s">
        <v>104</v>
      </c>
      <c r="BO18" s="86"/>
      <c r="BP18" s="656"/>
      <c r="BQ18" s="576"/>
      <c r="BR18" s="444"/>
      <c r="BS18" s="365"/>
      <c r="BT18" s="365"/>
      <c r="BU18" s="365"/>
      <c r="BV18" s="580"/>
      <c r="BW18" s="366"/>
      <c r="BX18"/>
      <c r="BY18"/>
      <c r="BZ18" s="1"/>
      <c r="CA18" s="21"/>
      <c r="CB18" s="605"/>
      <c r="CC18" s="610"/>
      <c r="CD18" s="601"/>
      <c r="CE18" s="329">
        <f t="shared" si="3"/>
        <v>0</v>
      </c>
      <c r="CF18" s="329">
        <f t="shared" si="4"/>
        <v>0</v>
      </c>
      <c r="CG18" s="329">
        <f t="shared" si="5"/>
      </c>
      <c r="CH18" s="329">
        <f t="shared" si="6"/>
      </c>
      <c r="CI18" s="329">
        <f t="shared" si="7"/>
      </c>
      <c r="CJ18" s="329">
        <f t="shared" si="8"/>
      </c>
      <c r="CK18" s="329">
        <f t="shared" si="9"/>
      </c>
      <c r="CL18" s="329">
        <f t="shared" si="10"/>
      </c>
      <c r="CM18" s="485" t="s">
        <v>694</v>
      </c>
      <c r="CN18" s="724" t="s">
        <v>871</v>
      </c>
      <c r="CO18" s="440"/>
      <c r="CP18" s="392"/>
      <c r="CQ18" s="392"/>
      <c r="CR18" s="393"/>
      <c r="CS18" s="834"/>
      <c r="CT18" s="592"/>
      <c r="CU18" s="21" t="e">
        <f t="shared" si="11"/>
        <v>#DIV/0!</v>
      </c>
      <c r="CV18" s="21" t="e">
        <f t="shared" si="12"/>
        <v>#DIV/0!</v>
      </c>
      <c r="CX18" s="625">
        <f t="shared" si="13"/>
        <v>0</v>
      </c>
      <c r="CY18" s="626">
        <f t="shared" si="14"/>
        <v>0</v>
      </c>
      <c r="CZ18" s="624">
        <f t="shared" si="15"/>
        <v>0</v>
      </c>
      <c r="DA18" s="634">
        <f t="shared" si="16"/>
        <v>0</v>
      </c>
      <c r="DB18" s="591">
        <f t="shared" si="17"/>
        <v>800000</v>
      </c>
      <c r="DC18" s="591">
        <f t="shared" si="18"/>
        <v>0</v>
      </c>
      <c r="DD18" s="591">
        <v>15000</v>
      </c>
      <c r="DI18" s="54">
        <v>1.6875</v>
      </c>
      <c r="DJ18" s="54">
        <v>6.25</v>
      </c>
      <c r="DK18" s="649">
        <f t="shared" si="19"/>
        <v>0</v>
      </c>
    </row>
    <row r="19" spans="1:115" s="54" customFormat="1" ht="12.75">
      <c r="A19" s="24" t="s">
        <v>710</v>
      </c>
      <c r="B19" s="69"/>
      <c r="C19" s="308" t="s">
        <v>827</v>
      </c>
      <c r="D19" s="670"/>
      <c r="E19" s="374" t="s">
        <v>1690</v>
      </c>
      <c r="F19" s="15"/>
      <c r="G19" s="18">
        <v>1</v>
      </c>
      <c r="H19" s="732">
        <v>5</v>
      </c>
      <c r="I19" s="323"/>
      <c r="J19" s="737">
        <v>4</v>
      </c>
      <c r="K19" s="188"/>
      <c r="L19" s="867"/>
      <c r="M19" s="895"/>
      <c r="N19" s="106"/>
      <c r="O19" s="455"/>
      <c r="P19" s="531"/>
      <c r="Q19" s="340"/>
      <c r="R19" s="98"/>
      <c r="S19" s="326"/>
      <c r="T19" s="342">
        <v>800</v>
      </c>
      <c r="U19" s="343"/>
      <c r="V19" s="344">
        <v>40</v>
      </c>
      <c r="W19" s="289"/>
      <c r="X19" s="340"/>
      <c r="Y19" s="46"/>
      <c r="Z19" s="48"/>
      <c r="AA19" s="48"/>
      <c r="AB19" s="50"/>
      <c r="AC19" s="345"/>
      <c r="AD19" s="312"/>
      <c r="AE19" s="292"/>
      <c r="AF19" s="46"/>
      <c r="AG19" s="48"/>
      <c r="AH19" s="48"/>
      <c r="AI19" s="47"/>
      <c r="AJ19" s="5"/>
      <c r="AK19" s="727"/>
      <c r="AL19" s="862"/>
      <c r="AM19" s="458"/>
      <c r="AN19" s="295"/>
      <c r="AO19" s="145"/>
      <c r="AP19" s="85"/>
      <c r="AQ19" s="677"/>
      <c r="AR19" s="56"/>
      <c r="AS19" s="34"/>
      <c r="AT19" s="34"/>
      <c r="AU19" s="73"/>
      <c r="AV19" s="39"/>
      <c r="AW19" s="143"/>
      <c r="AX19" s="33"/>
      <c r="AY19" s="34"/>
      <c r="AZ19" s="34"/>
      <c r="BA19" s="84"/>
      <c r="BB19" s="748"/>
      <c r="BC19" s="590"/>
      <c r="BD19" s="588"/>
      <c r="BE19" s="299"/>
      <c r="BF19" s="300"/>
      <c r="BG19" s="112"/>
      <c r="BH19" s="541"/>
      <c r="BI19" s="301">
        <v>4</v>
      </c>
      <c r="BJ19" s="655" t="s">
        <v>870</v>
      </c>
      <c r="BK19" s="36" t="s">
        <v>600</v>
      </c>
      <c r="BL19" s="303" t="s">
        <v>1731</v>
      </c>
      <c r="BM19" s="86" t="s">
        <v>1732</v>
      </c>
      <c r="BN19" s="303" t="s">
        <v>104</v>
      </c>
      <c r="BO19" s="86"/>
      <c r="BP19" s="656"/>
      <c r="BQ19" s="576"/>
      <c r="BR19" s="444"/>
      <c r="BS19" s="365"/>
      <c r="BT19" s="365"/>
      <c r="BU19" s="365"/>
      <c r="BV19" s="580"/>
      <c r="BW19" s="366"/>
      <c r="BX19"/>
      <c r="BY19"/>
      <c r="BZ19" s="1"/>
      <c r="CA19" s="21"/>
      <c r="CB19" s="605"/>
      <c r="CC19" s="600"/>
      <c r="CD19" s="601"/>
      <c r="CE19" s="329">
        <f t="shared" si="3"/>
        <v>0</v>
      </c>
      <c r="CF19" s="329">
        <f t="shared" si="4"/>
      </c>
      <c r="CG19" s="329">
        <f t="shared" si="5"/>
      </c>
      <c r="CH19" s="329">
        <f t="shared" si="6"/>
      </c>
      <c r="CI19" s="329">
        <f t="shared" si="7"/>
      </c>
      <c r="CJ19" s="329">
        <f t="shared" si="8"/>
      </c>
      <c r="CK19" s="329">
        <f t="shared" si="9"/>
      </c>
      <c r="CL19" s="329">
        <f t="shared" si="10"/>
      </c>
      <c r="CM19" s="485" t="s">
        <v>1477</v>
      </c>
      <c r="CN19" s="724" t="s">
        <v>871</v>
      </c>
      <c r="CO19" s="440"/>
      <c r="CP19" s="392"/>
      <c r="CQ19" s="392"/>
      <c r="CR19" s="393"/>
      <c r="CS19" s="834"/>
      <c r="CT19" s="592"/>
      <c r="CU19" s="21" t="e">
        <f t="shared" si="11"/>
        <v>#DIV/0!</v>
      </c>
      <c r="CV19" s="21" t="e">
        <f t="shared" si="12"/>
        <v>#DIV/0!</v>
      </c>
      <c r="CX19" s="625">
        <f t="shared" si="13"/>
        <v>0</v>
      </c>
      <c r="CY19" s="626">
        <f t="shared" si="14"/>
        <v>0</v>
      </c>
      <c r="CZ19" s="624">
        <f t="shared" si="15"/>
        <v>0</v>
      </c>
      <c r="DA19" s="634">
        <f t="shared" si="16"/>
        <v>0</v>
      </c>
      <c r="DB19" s="591">
        <f t="shared" si="17"/>
        <v>800000</v>
      </c>
      <c r="DC19" s="591">
        <f t="shared" si="18"/>
        <v>0</v>
      </c>
      <c r="DD19" s="591">
        <v>15000</v>
      </c>
      <c r="DI19" s="54">
        <v>1.6875</v>
      </c>
      <c r="DJ19" s="54">
        <v>6.25</v>
      </c>
      <c r="DK19" s="649">
        <f t="shared" si="19"/>
        <v>0</v>
      </c>
    </row>
    <row r="20" spans="1:115" s="54" customFormat="1" ht="12.75">
      <c r="A20" s="24" t="s">
        <v>1540</v>
      </c>
      <c r="B20" s="69"/>
      <c r="C20" s="308" t="s">
        <v>827</v>
      </c>
      <c r="D20" s="670" t="s">
        <v>214</v>
      </c>
      <c r="E20" s="374" t="s">
        <v>1690</v>
      </c>
      <c r="F20" s="15"/>
      <c r="G20" s="18">
        <v>1</v>
      </c>
      <c r="H20" s="17">
        <v>5</v>
      </c>
      <c r="I20" s="323"/>
      <c r="J20" s="186">
        <v>3</v>
      </c>
      <c r="K20" s="188"/>
      <c r="L20" s="867"/>
      <c r="M20" s="895"/>
      <c r="N20" s="106"/>
      <c r="O20" s="455">
        <v>200</v>
      </c>
      <c r="P20" s="743">
        <v>50</v>
      </c>
      <c r="Q20" s="340"/>
      <c r="R20" s="98"/>
      <c r="S20" s="326"/>
      <c r="T20" s="342">
        <v>800</v>
      </c>
      <c r="U20" s="343"/>
      <c r="V20" s="344">
        <v>40</v>
      </c>
      <c r="W20" s="289"/>
      <c r="X20" s="340"/>
      <c r="Y20" s="46"/>
      <c r="Z20" s="48"/>
      <c r="AA20" s="48"/>
      <c r="AB20" s="50"/>
      <c r="AC20" s="345"/>
      <c r="AD20" s="312"/>
      <c r="AE20" s="292"/>
      <c r="AF20" s="46"/>
      <c r="AG20" s="48"/>
      <c r="AH20" s="48"/>
      <c r="AI20" s="47"/>
      <c r="AJ20" s="5"/>
      <c r="AK20" s="727"/>
      <c r="AL20" s="862"/>
      <c r="AM20" s="458"/>
      <c r="AN20" s="295"/>
      <c r="AO20" s="145"/>
      <c r="AP20" s="85"/>
      <c r="AQ20" s="677"/>
      <c r="AR20" s="56"/>
      <c r="AS20" s="34"/>
      <c r="AT20" s="34"/>
      <c r="AU20" s="73"/>
      <c r="AV20" s="39"/>
      <c r="AW20" s="143"/>
      <c r="AX20" s="33"/>
      <c r="AY20" s="34"/>
      <c r="AZ20" s="34"/>
      <c r="BA20" s="84"/>
      <c r="BB20" s="748"/>
      <c r="BC20" s="590"/>
      <c r="BD20" s="588"/>
      <c r="BE20" s="299"/>
      <c r="BF20" s="300"/>
      <c r="BG20" s="112"/>
      <c r="BH20" s="541"/>
      <c r="BI20" s="301">
        <v>1</v>
      </c>
      <c r="BJ20" s="655" t="s">
        <v>870</v>
      </c>
      <c r="BK20" s="36" t="s">
        <v>304</v>
      </c>
      <c r="BL20" s="303" t="s">
        <v>1729</v>
      </c>
      <c r="BM20" s="86" t="s">
        <v>1726</v>
      </c>
      <c r="BN20" s="303" t="s">
        <v>104</v>
      </c>
      <c r="BO20" s="86"/>
      <c r="BP20" s="656"/>
      <c r="BQ20" s="576"/>
      <c r="BR20" s="444"/>
      <c r="BS20" s="365"/>
      <c r="BT20" s="365"/>
      <c r="BU20" s="365"/>
      <c r="BV20" s="580"/>
      <c r="BW20" s="366"/>
      <c r="BX20"/>
      <c r="BY20"/>
      <c r="BZ20" s="1"/>
      <c r="CA20" s="21"/>
      <c r="CB20" s="605"/>
      <c r="CC20" s="600"/>
      <c r="CD20" s="601"/>
      <c r="CE20" s="329">
        <f t="shared" si="3"/>
        <v>0</v>
      </c>
      <c r="CF20" s="329">
        <f t="shared" si="4"/>
      </c>
      <c r="CG20" s="329">
        <f t="shared" si="5"/>
      </c>
      <c r="CH20" s="329">
        <f t="shared" si="6"/>
      </c>
      <c r="CI20" s="329">
        <f t="shared" si="7"/>
      </c>
      <c r="CJ20" s="329">
        <f t="shared" si="8"/>
      </c>
      <c r="CK20" s="329">
        <f t="shared" si="9"/>
      </c>
      <c r="CL20" s="329">
        <f t="shared" si="10"/>
      </c>
      <c r="CM20" s="485" t="s">
        <v>1477</v>
      </c>
      <c r="CN20" s="724" t="s">
        <v>871</v>
      </c>
      <c r="CO20" s="440" t="s">
        <v>267</v>
      </c>
      <c r="CP20" s="392"/>
      <c r="CQ20" s="392"/>
      <c r="CR20" s="393"/>
      <c r="CS20" s="834"/>
      <c r="CT20" s="592"/>
      <c r="CU20" s="21" t="e">
        <f t="shared" si="11"/>
        <v>#DIV/0!</v>
      </c>
      <c r="CV20" s="21" t="e">
        <f t="shared" si="12"/>
        <v>#DIV/0!</v>
      </c>
      <c r="CX20" s="625">
        <f t="shared" si="13"/>
        <v>0</v>
      </c>
      <c r="CY20" s="626">
        <f t="shared" si="14"/>
        <v>0</v>
      </c>
      <c r="CZ20" s="624">
        <f t="shared" si="15"/>
        <v>0</v>
      </c>
      <c r="DA20" s="634">
        <f t="shared" si="16"/>
        <v>0</v>
      </c>
      <c r="DB20" s="591">
        <f t="shared" si="17"/>
        <v>800000</v>
      </c>
      <c r="DC20" s="591">
        <f t="shared" si="18"/>
        <v>0</v>
      </c>
      <c r="DD20" s="591">
        <v>15000</v>
      </c>
      <c r="DI20" s="54">
        <v>1.6875</v>
      </c>
      <c r="DJ20" s="54">
        <v>6.25</v>
      </c>
      <c r="DK20" s="649">
        <f t="shared" si="19"/>
        <v>0</v>
      </c>
    </row>
    <row r="21" spans="1:115" s="54" customFormat="1" ht="12.75">
      <c r="A21" s="24" t="s">
        <v>796</v>
      </c>
      <c r="B21" s="69"/>
      <c r="C21" s="308" t="s">
        <v>827</v>
      </c>
      <c r="D21" s="670"/>
      <c r="E21" s="374" t="s">
        <v>1690</v>
      </c>
      <c r="F21" s="15">
        <v>1</v>
      </c>
      <c r="G21" s="18"/>
      <c r="H21" s="17">
        <v>5</v>
      </c>
      <c r="I21" s="323"/>
      <c r="J21" s="738">
        <v>5</v>
      </c>
      <c r="K21" s="188"/>
      <c r="L21" s="867"/>
      <c r="M21" s="895"/>
      <c r="N21" s="106"/>
      <c r="O21" s="455"/>
      <c r="P21" s="531"/>
      <c r="Q21" s="340"/>
      <c r="R21" s="98"/>
      <c r="S21" s="326"/>
      <c r="T21" s="342">
        <v>800</v>
      </c>
      <c r="U21" s="343"/>
      <c r="V21" s="344">
        <v>40</v>
      </c>
      <c r="W21" s="289"/>
      <c r="X21" s="340"/>
      <c r="Y21" s="43"/>
      <c r="Z21" s="44"/>
      <c r="AA21" s="44"/>
      <c r="AB21" s="49"/>
      <c r="AC21" s="345"/>
      <c r="AD21" s="312"/>
      <c r="AE21" s="292"/>
      <c r="AF21" s="46"/>
      <c r="AG21" s="48"/>
      <c r="AH21" s="48"/>
      <c r="AI21" s="47"/>
      <c r="AJ21" s="5"/>
      <c r="AK21" s="727"/>
      <c r="AL21" s="862"/>
      <c r="AM21" s="458"/>
      <c r="AN21" s="295"/>
      <c r="AO21" s="145"/>
      <c r="AP21" s="85"/>
      <c r="AQ21" s="677"/>
      <c r="AR21" s="56"/>
      <c r="AS21" s="34"/>
      <c r="AT21" s="34"/>
      <c r="AU21" s="73"/>
      <c r="AV21" s="39"/>
      <c r="AW21" s="143"/>
      <c r="AX21" s="33"/>
      <c r="AY21" s="34"/>
      <c r="AZ21" s="34"/>
      <c r="BA21" s="84"/>
      <c r="BB21" s="748"/>
      <c r="BC21" s="590"/>
      <c r="BD21" s="588"/>
      <c r="BE21" s="299"/>
      <c r="BF21" s="300"/>
      <c r="BG21" s="112"/>
      <c r="BH21" s="541"/>
      <c r="BI21" s="301">
        <v>3</v>
      </c>
      <c r="BJ21" s="655" t="s">
        <v>870</v>
      </c>
      <c r="BK21" s="36" t="s">
        <v>1571</v>
      </c>
      <c r="BL21" s="303" t="s">
        <v>1734</v>
      </c>
      <c r="BM21" s="86" t="s">
        <v>1733</v>
      </c>
      <c r="BN21" s="303" t="s">
        <v>104</v>
      </c>
      <c r="BO21" s="86"/>
      <c r="BP21" s="656"/>
      <c r="BQ21" s="576"/>
      <c r="BR21" s="444"/>
      <c r="BS21" s="365"/>
      <c r="BT21" s="365"/>
      <c r="BU21" s="365"/>
      <c r="BV21" s="580"/>
      <c r="BW21" s="366"/>
      <c r="BX21"/>
      <c r="BY21"/>
      <c r="BZ21" s="1"/>
      <c r="CA21" s="21"/>
      <c r="CB21" s="605"/>
      <c r="CC21" s="600"/>
      <c r="CD21" s="601"/>
      <c r="CE21" s="329">
        <f t="shared" si="3"/>
        <v>0</v>
      </c>
      <c r="CF21" s="329">
        <f t="shared" si="4"/>
        <v>0</v>
      </c>
      <c r="CG21" s="329">
        <f t="shared" si="5"/>
      </c>
      <c r="CH21" s="329">
        <f t="shared" si="6"/>
      </c>
      <c r="CI21" s="329">
        <f t="shared" si="7"/>
      </c>
      <c r="CJ21" s="329">
        <f t="shared" si="8"/>
      </c>
      <c r="CK21" s="329">
        <f t="shared" si="9"/>
      </c>
      <c r="CL21" s="329">
        <f t="shared" si="10"/>
      </c>
      <c r="CM21" s="485" t="s">
        <v>1579</v>
      </c>
      <c r="CN21" s="724" t="s">
        <v>871</v>
      </c>
      <c r="CO21" s="440" t="s">
        <v>1576</v>
      </c>
      <c r="CP21" s="392"/>
      <c r="CQ21" s="392"/>
      <c r="CR21" s="393"/>
      <c r="CS21" s="834"/>
      <c r="CT21" s="592"/>
      <c r="CU21" s="21" t="e">
        <f t="shared" si="11"/>
        <v>#DIV/0!</v>
      </c>
      <c r="CV21" s="21" t="e">
        <f t="shared" si="12"/>
        <v>#DIV/0!</v>
      </c>
      <c r="CX21" s="625">
        <f t="shared" si="13"/>
        <v>0</v>
      </c>
      <c r="CY21" s="626">
        <f t="shared" si="14"/>
        <v>0</v>
      </c>
      <c r="CZ21" s="624">
        <f t="shared" si="15"/>
        <v>0</v>
      </c>
      <c r="DA21" s="634">
        <f t="shared" si="16"/>
        <v>0</v>
      </c>
      <c r="DB21" s="591">
        <f t="shared" si="17"/>
        <v>800000</v>
      </c>
      <c r="DC21" s="591">
        <f t="shared" si="18"/>
        <v>0</v>
      </c>
      <c r="DD21" s="591">
        <v>15000</v>
      </c>
      <c r="DI21" s="54">
        <v>1.6875</v>
      </c>
      <c r="DJ21" s="54">
        <v>6.25</v>
      </c>
      <c r="DK21" s="649">
        <f t="shared" si="19"/>
        <v>0</v>
      </c>
    </row>
    <row r="22" spans="1:115" s="54" customFormat="1" ht="12.75">
      <c r="A22" s="24" t="s">
        <v>797</v>
      </c>
      <c r="B22" s="69"/>
      <c r="C22" s="308" t="s">
        <v>827</v>
      </c>
      <c r="D22" s="670"/>
      <c r="E22" s="374" t="s">
        <v>1691</v>
      </c>
      <c r="F22" s="15">
        <v>1</v>
      </c>
      <c r="G22" s="18"/>
      <c r="H22" s="17"/>
      <c r="I22" s="323"/>
      <c r="J22" s="324"/>
      <c r="K22" s="188"/>
      <c r="L22" s="867"/>
      <c r="M22" s="895"/>
      <c r="N22" s="106"/>
      <c r="O22" s="455"/>
      <c r="P22" s="531"/>
      <c r="Q22" s="340"/>
      <c r="R22" s="98"/>
      <c r="S22" s="326"/>
      <c r="T22" s="342">
        <v>1400</v>
      </c>
      <c r="U22" s="343"/>
      <c r="V22" s="344">
        <v>40</v>
      </c>
      <c r="W22" s="289">
        <v>0.619</v>
      </c>
      <c r="X22" s="340"/>
      <c r="Y22" s="43"/>
      <c r="Z22" s="44"/>
      <c r="AA22" s="44"/>
      <c r="AB22" s="49"/>
      <c r="AC22" s="345"/>
      <c r="AD22" s="312"/>
      <c r="AE22" s="292"/>
      <c r="AF22" s="46"/>
      <c r="AG22" s="48"/>
      <c r="AH22" s="48"/>
      <c r="AI22" s="47"/>
      <c r="AJ22" s="5"/>
      <c r="AK22" s="727"/>
      <c r="AL22" s="862"/>
      <c r="AM22" s="458"/>
      <c r="AN22" s="295"/>
      <c r="AO22" s="145"/>
      <c r="AP22" s="85"/>
      <c r="AQ22" s="677"/>
      <c r="AR22" s="56"/>
      <c r="AS22" s="34"/>
      <c r="AT22" s="34"/>
      <c r="AU22" s="73"/>
      <c r="AV22" s="39"/>
      <c r="AW22" s="900">
        <v>170</v>
      </c>
      <c r="AX22" s="33"/>
      <c r="AY22" s="34"/>
      <c r="AZ22" s="34"/>
      <c r="BA22" s="84"/>
      <c r="BB22" s="748"/>
      <c r="BC22" s="590"/>
      <c r="BD22" s="588"/>
      <c r="BE22" s="299"/>
      <c r="BF22" s="300"/>
      <c r="BG22" s="112"/>
      <c r="BH22" s="541"/>
      <c r="BI22" s="301">
        <v>1</v>
      </c>
      <c r="BJ22" s="655" t="s">
        <v>870</v>
      </c>
      <c r="BK22" s="36" t="s">
        <v>1561</v>
      </c>
      <c r="BL22" s="303" t="s">
        <v>1556</v>
      </c>
      <c r="BM22" s="86" t="s">
        <v>1773</v>
      </c>
      <c r="BN22" s="303" t="s">
        <v>104</v>
      </c>
      <c r="BO22" s="86"/>
      <c r="BP22" s="656"/>
      <c r="BQ22" s="576"/>
      <c r="BR22" s="444"/>
      <c r="BS22" s="365"/>
      <c r="BT22" s="365"/>
      <c r="BU22" s="365"/>
      <c r="BV22" s="580"/>
      <c r="BW22" s="366"/>
      <c r="BX22"/>
      <c r="BY22"/>
      <c r="BZ22" s="1"/>
      <c r="CA22" s="21"/>
      <c r="CB22" s="605"/>
      <c r="CC22" s="610"/>
      <c r="CD22" s="601"/>
      <c r="CE22" s="329">
        <f t="shared" si="3"/>
        <v>0</v>
      </c>
      <c r="CF22" s="329">
        <f t="shared" si="4"/>
        <v>0</v>
      </c>
      <c r="CG22" s="329">
        <f t="shared" si="5"/>
      </c>
      <c r="CH22" s="329">
        <f t="shared" si="6"/>
      </c>
      <c r="CI22" s="329">
        <f t="shared" si="7"/>
      </c>
      <c r="CJ22" s="329">
        <f t="shared" si="8"/>
      </c>
      <c r="CK22" s="329">
        <f t="shared" si="9"/>
      </c>
      <c r="CL22" s="329">
        <f t="shared" si="10"/>
      </c>
      <c r="CM22" s="485" t="s">
        <v>694</v>
      </c>
      <c r="CN22" s="724" t="s">
        <v>871</v>
      </c>
      <c r="CO22" s="440"/>
      <c r="CP22" s="392"/>
      <c r="CQ22" s="392"/>
      <c r="CR22" s="393"/>
      <c r="CS22" s="834"/>
      <c r="CT22" s="592"/>
      <c r="CU22" s="21" t="e">
        <f t="shared" si="11"/>
        <v>#DIV/0!</v>
      </c>
      <c r="CV22" s="21" t="e">
        <f t="shared" si="12"/>
        <v>#DIV/0!</v>
      </c>
      <c r="CX22" s="625">
        <f t="shared" si="13"/>
        <v>0</v>
      </c>
      <c r="CY22" s="626">
        <f t="shared" si="14"/>
        <v>0</v>
      </c>
      <c r="CZ22" s="624">
        <f t="shared" si="15"/>
        <v>0</v>
      </c>
      <c r="DA22" s="634">
        <f t="shared" si="16"/>
        <v>170</v>
      </c>
      <c r="DB22" s="591">
        <f t="shared" si="17"/>
        <v>1400000</v>
      </c>
      <c r="DC22" s="591">
        <f t="shared" si="18"/>
        <v>212.5</v>
      </c>
      <c r="DD22" s="591">
        <v>15000</v>
      </c>
      <c r="DI22" s="54">
        <v>1.6875</v>
      </c>
      <c r="DJ22" s="54">
        <v>6.25</v>
      </c>
      <c r="DK22" s="649">
        <f t="shared" si="19"/>
        <v>0.8666</v>
      </c>
    </row>
    <row r="23" spans="1:115" s="54" customFormat="1" ht="12.75">
      <c r="A23" s="24" t="s">
        <v>798</v>
      </c>
      <c r="B23" s="69"/>
      <c r="C23" s="308" t="s">
        <v>827</v>
      </c>
      <c r="D23" s="670"/>
      <c r="E23" s="374" t="s">
        <v>1691</v>
      </c>
      <c r="F23" s="15">
        <v>1</v>
      </c>
      <c r="G23" s="18"/>
      <c r="H23" s="17"/>
      <c r="I23" s="323"/>
      <c r="J23" s="324"/>
      <c r="K23" s="188"/>
      <c r="L23" s="867"/>
      <c r="M23" s="895"/>
      <c r="N23" s="106"/>
      <c r="O23" s="455"/>
      <c r="P23" s="531"/>
      <c r="Q23" s="340"/>
      <c r="R23" s="98"/>
      <c r="S23" s="326"/>
      <c r="T23" s="342">
        <v>1400</v>
      </c>
      <c r="U23" s="343"/>
      <c r="V23" s="344">
        <v>40</v>
      </c>
      <c r="W23" s="289">
        <v>0.507</v>
      </c>
      <c r="X23" s="340"/>
      <c r="Y23" s="46"/>
      <c r="Z23" s="48"/>
      <c r="AA23" s="48"/>
      <c r="AB23" s="50"/>
      <c r="AC23" s="345"/>
      <c r="AD23" s="312"/>
      <c r="AE23" s="292"/>
      <c r="AF23" s="46"/>
      <c r="AG23" s="48"/>
      <c r="AH23" s="48"/>
      <c r="AI23" s="47"/>
      <c r="AJ23" s="5"/>
      <c r="AK23" s="727"/>
      <c r="AL23" s="862"/>
      <c r="AM23" s="458"/>
      <c r="AN23" s="295"/>
      <c r="AO23" s="145"/>
      <c r="AP23" s="85"/>
      <c r="AQ23" s="677"/>
      <c r="AR23" s="56"/>
      <c r="AS23" s="34"/>
      <c r="AT23" s="34"/>
      <c r="AU23" s="73"/>
      <c r="AV23" s="39"/>
      <c r="AW23" s="901">
        <v>170</v>
      </c>
      <c r="AX23" s="33"/>
      <c r="AY23" s="34"/>
      <c r="AZ23" s="34"/>
      <c r="BA23" s="84"/>
      <c r="BB23" s="748"/>
      <c r="BC23" s="590"/>
      <c r="BD23" s="588"/>
      <c r="BE23" s="299"/>
      <c r="BF23" s="300"/>
      <c r="BG23" s="112"/>
      <c r="BH23" s="541"/>
      <c r="BI23" s="301">
        <v>2</v>
      </c>
      <c r="BJ23" s="655" t="s">
        <v>870</v>
      </c>
      <c r="BK23" s="36" t="s">
        <v>86</v>
      </c>
      <c r="BL23" s="303" t="s">
        <v>1527</v>
      </c>
      <c r="BM23" s="86" t="s">
        <v>1774</v>
      </c>
      <c r="BN23" s="303" t="s">
        <v>104</v>
      </c>
      <c r="BO23" s="86"/>
      <c r="BP23" s="656"/>
      <c r="BQ23" s="576"/>
      <c r="BR23" s="444"/>
      <c r="BS23" s="365"/>
      <c r="BT23" s="365"/>
      <c r="BU23" s="365"/>
      <c r="BV23" s="580"/>
      <c r="BW23" s="366"/>
      <c r="BX23"/>
      <c r="BY23"/>
      <c r="BZ23" s="1"/>
      <c r="CA23" s="21"/>
      <c r="CB23" s="605"/>
      <c r="CC23" s="600"/>
      <c r="CD23" s="601"/>
      <c r="CE23" s="329">
        <f t="shared" si="3"/>
        <v>0</v>
      </c>
      <c r="CF23" s="329">
        <f t="shared" si="4"/>
        <v>0</v>
      </c>
      <c r="CG23" s="329">
        <f t="shared" si="5"/>
      </c>
      <c r="CH23" s="329">
        <f t="shared" si="6"/>
      </c>
      <c r="CI23" s="329">
        <f t="shared" si="7"/>
      </c>
      <c r="CJ23" s="329">
        <f t="shared" si="8"/>
      </c>
      <c r="CK23" s="329">
        <f t="shared" si="9"/>
      </c>
      <c r="CL23" s="329">
        <f t="shared" si="10"/>
      </c>
      <c r="CM23" s="485" t="s">
        <v>1477</v>
      </c>
      <c r="CN23" s="724" t="s">
        <v>871</v>
      </c>
      <c r="CO23" s="440" t="s">
        <v>1576</v>
      </c>
      <c r="CP23" s="392"/>
      <c r="CQ23" s="392"/>
      <c r="CR23" s="393"/>
      <c r="CS23" s="834"/>
      <c r="CT23" s="592"/>
      <c r="CU23" s="21" t="e">
        <f t="shared" si="11"/>
        <v>#DIV/0!</v>
      </c>
      <c r="CV23" s="21" t="e">
        <f t="shared" si="12"/>
        <v>#DIV/0!</v>
      </c>
      <c r="CX23" s="625">
        <f t="shared" si="13"/>
        <v>0</v>
      </c>
      <c r="CY23" s="626">
        <f t="shared" si="14"/>
        <v>0</v>
      </c>
      <c r="CZ23" s="624">
        <f t="shared" si="15"/>
        <v>0</v>
      </c>
      <c r="DA23" s="634">
        <f t="shared" si="16"/>
        <v>170</v>
      </c>
      <c r="DB23" s="591">
        <f t="shared" si="17"/>
        <v>1400000</v>
      </c>
      <c r="DC23" s="591">
        <f t="shared" si="18"/>
        <v>212.5</v>
      </c>
      <c r="DD23" s="591">
        <v>15000</v>
      </c>
      <c r="DI23" s="54">
        <v>1.6875</v>
      </c>
      <c r="DJ23" s="54">
        <v>6.25</v>
      </c>
      <c r="DK23" s="649">
        <f t="shared" si="19"/>
        <v>0.7098</v>
      </c>
    </row>
    <row r="24" spans="1:115" s="54" customFormat="1" ht="12.75">
      <c r="A24" s="24" t="s">
        <v>711</v>
      </c>
      <c r="B24" s="69"/>
      <c r="C24" s="308" t="s">
        <v>827</v>
      </c>
      <c r="D24" s="670"/>
      <c r="E24" s="374" t="s">
        <v>1691</v>
      </c>
      <c r="F24" s="15"/>
      <c r="G24" s="18"/>
      <c r="H24" s="17"/>
      <c r="I24" s="323"/>
      <c r="J24" s="324"/>
      <c r="K24" s="188"/>
      <c r="L24" s="867"/>
      <c r="M24" s="895"/>
      <c r="N24" s="106"/>
      <c r="O24" s="455"/>
      <c r="P24" s="531"/>
      <c r="Q24" s="340"/>
      <c r="R24" s="98"/>
      <c r="S24" s="326"/>
      <c r="T24" s="342">
        <v>1400</v>
      </c>
      <c r="U24" s="343"/>
      <c r="V24" s="344">
        <v>40</v>
      </c>
      <c r="W24" s="746">
        <v>0.732</v>
      </c>
      <c r="X24" s="340"/>
      <c r="Y24" s="46"/>
      <c r="Z24" s="48"/>
      <c r="AA24" s="48"/>
      <c r="AB24" s="50"/>
      <c r="AC24" s="345"/>
      <c r="AD24" s="312"/>
      <c r="AE24" s="292"/>
      <c r="AF24" s="46"/>
      <c r="AG24" s="48"/>
      <c r="AH24" s="48"/>
      <c r="AI24" s="47"/>
      <c r="AJ24" s="5"/>
      <c r="AK24" s="727"/>
      <c r="AL24" s="862"/>
      <c r="AM24" s="458"/>
      <c r="AN24" s="295"/>
      <c r="AO24" s="145"/>
      <c r="AP24" s="85"/>
      <c r="AQ24" s="677"/>
      <c r="AR24" s="56"/>
      <c r="AS24" s="34"/>
      <c r="AT24" s="34"/>
      <c r="AU24" s="73"/>
      <c r="AV24" s="39"/>
      <c r="AW24" s="143">
        <v>165</v>
      </c>
      <c r="AX24" s="33"/>
      <c r="AY24" s="34"/>
      <c r="AZ24" s="34"/>
      <c r="BA24" s="84"/>
      <c r="BB24" s="749"/>
      <c r="BC24" s="590"/>
      <c r="BD24" s="588"/>
      <c r="BE24" s="299"/>
      <c r="BF24" s="300"/>
      <c r="BG24" s="112"/>
      <c r="BH24" s="541"/>
      <c r="BI24" s="301">
        <v>4</v>
      </c>
      <c r="BJ24" s="655" t="s">
        <v>870</v>
      </c>
      <c r="BK24" s="36" t="s">
        <v>1715</v>
      </c>
      <c r="BL24" s="303" t="s">
        <v>1775</v>
      </c>
      <c r="BM24" s="86" t="s">
        <v>1714</v>
      </c>
      <c r="BN24" s="303" t="s">
        <v>104</v>
      </c>
      <c r="BO24" s="86"/>
      <c r="BP24" s="656"/>
      <c r="BQ24" s="576"/>
      <c r="BR24" s="444"/>
      <c r="BS24" s="365"/>
      <c r="BT24" s="365"/>
      <c r="BU24" s="365"/>
      <c r="BV24" s="580"/>
      <c r="BW24" s="366"/>
      <c r="BX24"/>
      <c r="BY24"/>
      <c r="BZ24" s="1"/>
      <c r="CA24" s="21"/>
      <c r="CB24" s="605"/>
      <c r="CC24" s="600"/>
      <c r="CD24" s="601"/>
      <c r="CE24" s="329">
        <f t="shared" si="3"/>
        <v>0</v>
      </c>
      <c r="CF24" s="329">
        <f t="shared" si="4"/>
      </c>
      <c r="CG24" s="329">
        <f t="shared" si="5"/>
      </c>
      <c r="CH24" s="329">
        <f t="shared" si="6"/>
      </c>
      <c r="CI24" s="329">
        <f t="shared" si="7"/>
      </c>
      <c r="CJ24" s="329">
        <f t="shared" si="8"/>
      </c>
      <c r="CK24" s="329">
        <f t="shared" si="9"/>
      </c>
      <c r="CL24" s="329">
        <f t="shared" si="10"/>
      </c>
      <c r="CM24" s="485" t="s">
        <v>1477</v>
      </c>
      <c r="CN24" s="724" t="s">
        <v>871</v>
      </c>
      <c r="CO24" s="440"/>
      <c r="CP24" s="392"/>
      <c r="CQ24" s="392"/>
      <c r="CR24" s="393"/>
      <c r="CS24" s="834"/>
      <c r="CT24" s="592"/>
      <c r="CU24" s="21" t="e">
        <f t="shared" si="11"/>
        <v>#DIV/0!</v>
      </c>
      <c r="CV24" s="21" t="e">
        <f t="shared" si="12"/>
        <v>#DIV/0!</v>
      </c>
      <c r="CX24" s="625">
        <f t="shared" si="13"/>
        <v>0</v>
      </c>
      <c r="CY24" s="626">
        <f t="shared" si="14"/>
        <v>0</v>
      </c>
      <c r="CZ24" s="624">
        <f t="shared" si="15"/>
        <v>0</v>
      </c>
      <c r="DA24" s="634">
        <f t="shared" si="16"/>
        <v>165</v>
      </c>
      <c r="DB24" s="591">
        <f t="shared" si="17"/>
        <v>1400000</v>
      </c>
      <c r="DC24" s="591">
        <f t="shared" si="18"/>
        <v>206.25</v>
      </c>
      <c r="DD24" s="591">
        <v>15000</v>
      </c>
      <c r="DI24" s="54">
        <v>1.6875</v>
      </c>
      <c r="DJ24" s="54">
        <v>6.25</v>
      </c>
      <c r="DK24" s="649">
        <f t="shared" si="19"/>
        <v>1.0248</v>
      </c>
    </row>
    <row r="25" spans="1:115" s="54" customFormat="1" ht="12.75">
      <c r="A25" s="24" t="s">
        <v>799</v>
      </c>
      <c r="B25" s="69"/>
      <c r="C25" s="308" t="s">
        <v>827</v>
      </c>
      <c r="D25" s="670" t="s">
        <v>214</v>
      </c>
      <c r="E25" s="374" t="s">
        <v>1691</v>
      </c>
      <c r="F25" s="15">
        <v>1</v>
      </c>
      <c r="G25" s="18"/>
      <c r="H25" s="17"/>
      <c r="I25" s="323"/>
      <c r="J25" s="324"/>
      <c r="K25" s="188"/>
      <c r="L25" s="867"/>
      <c r="M25" s="895"/>
      <c r="N25" s="106"/>
      <c r="O25" s="455"/>
      <c r="P25" s="531"/>
      <c r="Q25" s="340"/>
      <c r="R25" s="98"/>
      <c r="S25" s="326"/>
      <c r="T25" s="342">
        <v>1400</v>
      </c>
      <c r="U25" s="343"/>
      <c r="V25" s="344">
        <v>40</v>
      </c>
      <c r="W25" s="289">
        <v>0.563</v>
      </c>
      <c r="X25" s="340"/>
      <c r="Y25" s="43"/>
      <c r="Z25" s="44"/>
      <c r="AA25" s="44"/>
      <c r="AB25" s="49"/>
      <c r="AC25" s="345"/>
      <c r="AD25" s="312"/>
      <c r="AE25" s="292"/>
      <c r="AF25" s="46"/>
      <c r="AG25" s="48"/>
      <c r="AH25" s="48"/>
      <c r="AI25" s="47"/>
      <c r="AJ25" s="5"/>
      <c r="AK25" s="727"/>
      <c r="AL25" s="862"/>
      <c r="AM25" s="458"/>
      <c r="AN25" s="295"/>
      <c r="AO25" s="145"/>
      <c r="AP25" s="85"/>
      <c r="AQ25" s="677"/>
      <c r="AR25" s="56"/>
      <c r="AS25" s="34"/>
      <c r="AT25" s="34"/>
      <c r="AU25" s="73"/>
      <c r="AV25" s="736"/>
      <c r="AW25" s="906">
        <v>165</v>
      </c>
      <c r="AX25" s="33"/>
      <c r="AY25" s="34"/>
      <c r="AZ25" s="34"/>
      <c r="BA25" s="84"/>
      <c r="BB25" s="748"/>
      <c r="BC25" s="590"/>
      <c r="BD25" s="588"/>
      <c r="BE25" s="299"/>
      <c r="BF25" s="300"/>
      <c r="BG25" s="112"/>
      <c r="BH25" s="541"/>
      <c r="BI25" s="301">
        <v>3</v>
      </c>
      <c r="BJ25" s="655" t="s">
        <v>870</v>
      </c>
      <c r="BK25" s="36" t="s">
        <v>1562</v>
      </c>
      <c r="BL25" s="303" t="s">
        <v>808</v>
      </c>
      <c r="BM25" s="86" t="s">
        <v>1716</v>
      </c>
      <c r="BN25" s="303" t="s">
        <v>104</v>
      </c>
      <c r="BO25" s="86"/>
      <c r="BP25" s="656"/>
      <c r="BQ25" s="576"/>
      <c r="BR25" s="444"/>
      <c r="BS25" s="365"/>
      <c r="BT25" s="365"/>
      <c r="BU25" s="365"/>
      <c r="BV25" s="580"/>
      <c r="BW25" s="366"/>
      <c r="BX25"/>
      <c r="BY25"/>
      <c r="BZ25" s="1"/>
      <c r="CA25" s="21"/>
      <c r="CB25" s="605"/>
      <c r="CC25" s="600"/>
      <c r="CD25" s="601"/>
      <c r="CE25" s="329">
        <f t="shared" si="3"/>
        <v>0</v>
      </c>
      <c r="CF25" s="329">
        <f t="shared" si="4"/>
        <v>0</v>
      </c>
      <c r="CG25" s="329">
        <f t="shared" si="5"/>
      </c>
      <c r="CH25" s="329">
        <f t="shared" si="6"/>
      </c>
      <c r="CI25" s="329">
        <f t="shared" si="7"/>
      </c>
      <c r="CJ25" s="329">
        <f t="shared" si="8"/>
      </c>
      <c r="CK25" s="329">
        <f t="shared" si="9"/>
      </c>
      <c r="CL25" s="329">
        <f t="shared" si="10"/>
      </c>
      <c r="CM25" s="485" t="s">
        <v>1579</v>
      </c>
      <c r="CN25" s="724" t="s">
        <v>871</v>
      </c>
      <c r="CO25" s="440" t="s">
        <v>267</v>
      </c>
      <c r="CP25" s="392"/>
      <c r="CQ25" s="392"/>
      <c r="CR25" s="393"/>
      <c r="CS25" s="834"/>
      <c r="CT25" s="592"/>
      <c r="CU25" s="21" t="e">
        <f t="shared" si="11"/>
        <v>#DIV/0!</v>
      </c>
      <c r="CV25" s="21" t="e">
        <f t="shared" si="12"/>
        <v>#DIV/0!</v>
      </c>
      <c r="CX25" s="625">
        <f t="shared" si="13"/>
        <v>0</v>
      </c>
      <c r="CY25" s="626">
        <f t="shared" si="14"/>
        <v>0</v>
      </c>
      <c r="CZ25" s="624">
        <f t="shared" si="15"/>
        <v>0</v>
      </c>
      <c r="DA25" s="634">
        <f t="shared" si="16"/>
        <v>165</v>
      </c>
      <c r="DB25" s="591">
        <f t="shared" si="17"/>
        <v>1400000</v>
      </c>
      <c r="DC25" s="591">
        <f t="shared" si="18"/>
        <v>206.25</v>
      </c>
      <c r="DD25" s="591">
        <v>15000</v>
      </c>
      <c r="DI25" s="54">
        <v>1.6875</v>
      </c>
      <c r="DJ25" s="54">
        <v>6.25</v>
      </c>
      <c r="DK25" s="649">
        <f t="shared" si="19"/>
        <v>0.7881999999999999</v>
      </c>
    </row>
    <row r="26" spans="1:115" s="54" customFormat="1" ht="12.75">
      <c r="A26" s="24" t="s">
        <v>874</v>
      </c>
      <c r="B26" s="69" t="s">
        <v>874</v>
      </c>
      <c r="C26" s="636" t="s">
        <v>865</v>
      </c>
      <c r="D26" s="670" t="s">
        <v>302</v>
      </c>
      <c r="E26" s="374" t="s">
        <v>877</v>
      </c>
      <c r="F26" s="15">
        <f aca="true" t="shared" si="20" ref="F26:R26">F27+LOOKUP("x",$D$28:$D$31,F$28:F$31)+LOOKUP("x",$D$32:$D$35,F$32:F$35)+LOOKUP("x",$D$36:$D$39,F$36:F$39)+LOOKUP("x",$D$40:$D$43,F$40:F$43)+LOOKUP("x",$D$44:$D$47,F$44:F$47)</f>
        <v>4</v>
      </c>
      <c r="G26" s="18">
        <f t="shared" si="20"/>
        <v>7</v>
      </c>
      <c r="H26" s="17">
        <f t="shared" si="20"/>
        <v>5</v>
      </c>
      <c r="I26" s="323">
        <f t="shared" si="20"/>
        <v>5</v>
      </c>
      <c r="J26" s="324">
        <f t="shared" si="20"/>
        <v>0</v>
      </c>
      <c r="K26" s="188">
        <f t="shared" si="20"/>
        <v>3</v>
      </c>
      <c r="L26" s="867">
        <f t="shared" si="20"/>
        <v>493</v>
      </c>
      <c r="M26" s="895">
        <f t="shared" si="20"/>
        <v>825</v>
      </c>
      <c r="N26" s="106">
        <f t="shared" si="20"/>
        <v>400</v>
      </c>
      <c r="O26" s="455">
        <f t="shared" si="20"/>
        <v>50</v>
      </c>
      <c r="P26" s="531">
        <f t="shared" si="20"/>
        <v>25</v>
      </c>
      <c r="Q26" s="340">
        <f t="shared" si="20"/>
        <v>1661</v>
      </c>
      <c r="R26" s="98">
        <f t="shared" si="20"/>
        <v>410</v>
      </c>
      <c r="S26" s="326">
        <f>MAX($CE26:$CL26)</f>
        <v>1083.4892226562497</v>
      </c>
      <c r="T26" s="342">
        <f aca="true" t="shared" si="21" ref="T26:AD26">T27+LOOKUP("x",$D$28:$D$31,T$28:T$31)+LOOKUP("x",$D$32:$D$35,T$32:T$35)+LOOKUP("x",$D$36:$D$39,T$36:T$39)+LOOKUP("x",$D$40:$D$43,T$40:T$43)+LOOKUP("x",$D$44:$D$47,T$44:T$47)</f>
        <v>14201</v>
      </c>
      <c r="U26" s="343">
        <f t="shared" si="21"/>
        <v>92000</v>
      </c>
      <c r="V26" s="344">
        <f t="shared" si="21"/>
        <v>5200</v>
      </c>
      <c r="W26" s="289">
        <f t="shared" si="21"/>
        <v>0.74</v>
      </c>
      <c r="X26" s="340">
        <f t="shared" si="21"/>
        <v>2600</v>
      </c>
      <c r="Y26" s="43">
        <f t="shared" si="21"/>
        <v>50</v>
      </c>
      <c r="Z26" s="44">
        <f t="shared" si="21"/>
        <v>10</v>
      </c>
      <c r="AA26" s="44">
        <f t="shared" si="21"/>
        <v>62.5</v>
      </c>
      <c r="AB26" s="49">
        <f t="shared" si="21"/>
        <v>86.25</v>
      </c>
      <c r="AC26" s="345">
        <f t="shared" si="21"/>
        <v>3850</v>
      </c>
      <c r="AD26" s="312">
        <f t="shared" si="21"/>
        <v>2440</v>
      </c>
      <c r="AE26" s="292">
        <f>AC26/AD26</f>
        <v>1.5778688524590163</v>
      </c>
      <c r="AF26" s="46">
        <f>AF27+LOOKUP("x",$D$28:$D$31,AF$28:AF$31)+LOOKUP("x",$D$32:$D$35,AF$32:AF$35)+LOOKUP("x",$D$36:$D$39,AF$36:AF$39)+LOOKUP("x",$D$40:$D$43,AF$40:AF$43)+LOOKUP("x",$D$44:$D$47,AF$44:AF$47)</f>
        <v>0</v>
      </c>
      <c r="AG26" s="48">
        <f>AG27+LOOKUP("x",$D$28:$D$31,AG$28:AG$31)+LOOKUP("x",$D$32:$D$35,AG$32:AG$35)+LOOKUP("x",$D$36:$D$39,AG$36:AG$39)+LOOKUP("x",$D$40:$D$43,AG$40:AG$43)+LOOKUP("x",$D$44:$D$47,AG$44:AG$47)</f>
        <v>50</v>
      </c>
      <c r="AH26" s="48">
        <f>AH27+LOOKUP("x",$D$28:$D$31,AH$28:AH$31)+LOOKUP("x",$D$32:$D$35,AH$32:AH$35)+LOOKUP("x",$D$36:$D$39,AH$36:AH$39)+LOOKUP("x",$D$40:$D$43,AH$40:AH$43)+LOOKUP("x",$D$44:$D$47,AH$44:AH$47)</f>
        <v>70</v>
      </c>
      <c r="AI26" s="47">
        <f>AI27+LOOKUP("x",$D$28:$D$31,AI$28:AI$31)+LOOKUP("x",$D$32:$D$35,AI$32:AI$35)+LOOKUP("x",$D$36:$D$39,AI$36:AI$39)+LOOKUP("x",$D$40:$D$43,AI$40:AI$43)+LOOKUP("x",$D$44:$D$47,AI$44:AI$47)</f>
        <v>80</v>
      </c>
      <c r="AJ26" s="5">
        <f>Q26+X26+AC26</f>
        <v>8111</v>
      </c>
      <c r="AK26" s="728" t="str">
        <f>IF($X26=$AC26,"=",IF(MAX($AC26,$X26)*0.1&gt;ABS($X26-$AC26),"~",IF(MAX($AC26,$X26)=$X26,"A","S")))</f>
        <v>S</v>
      </c>
      <c r="AL26" s="862">
        <f>AL27+LOOKUP("x",$D$28:$D$31,AL$28:AL$31)+LOOKUP("x",$D$32:$D$35,AL$32:AL$35)+LOOKUP("x",$D$36:$D$39,AL$36:AL$39)+LOOKUP("x",$D$40:$D$43,AL$40:AL$43)+LOOKUP("x",$D$44:$D$47,AL$44:AL$47)</f>
        <v>2200</v>
      </c>
      <c r="AM26" s="458">
        <f>AM27+LOOKUP("x",$D$28:$D$31,AM$28:AM$31)+LOOKUP("x",$D$32:$D$35,AM$32:AM$35)+LOOKUP("x",$D$36:$D$39,AM$36:AM$39)+LOOKUP("x",$D$40:$D$43,AM$40:AM$43)+LOOKUP("x",$D$44:$D$47,AM$44:AM$47)</f>
        <v>425</v>
      </c>
      <c r="AN26" s="295">
        <f>AL26/AM26</f>
        <v>5.176470588235294</v>
      </c>
      <c r="AO26" s="145">
        <f aca="true" t="shared" si="22" ref="AO26:BB26">AO27+LOOKUP("x",$D$28:$D$31,AO$28:AO$31)+LOOKUP("x",$D$32:$D$35,AO$32:AO$35)+LOOKUP("x",$D$36:$D$39,AO$36:AO$39)+LOOKUP("x",$D$40:$D$43,AO$40:AO$43)+LOOKUP("x",$D$44:$D$47,AO$44:AO$47)</f>
        <v>70</v>
      </c>
      <c r="AP26" s="85">
        <f t="shared" si="22"/>
        <v>5</v>
      </c>
      <c r="AQ26" s="677">
        <f t="shared" si="22"/>
        <v>250</v>
      </c>
      <c r="AR26" s="56">
        <f t="shared" si="22"/>
        <v>0</v>
      </c>
      <c r="AS26" s="34">
        <f t="shared" si="22"/>
        <v>16</v>
      </c>
      <c r="AT26" s="34">
        <f t="shared" si="22"/>
        <v>0</v>
      </c>
      <c r="AU26" s="73">
        <f t="shared" si="22"/>
        <v>0</v>
      </c>
      <c r="AV26" s="39">
        <f t="shared" si="22"/>
        <v>257</v>
      </c>
      <c r="AW26" s="143">
        <f t="shared" si="22"/>
        <v>175</v>
      </c>
      <c r="AX26" s="33">
        <f t="shared" si="22"/>
        <v>0</v>
      </c>
      <c r="AY26" s="34">
        <f t="shared" si="22"/>
        <v>0</v>
      </c>
      <c r="AZ26" s="34">
        <f t="shared" si="22"/>
        <v>0</v>
      </c>
      <c r="BA26" s="84">
        <f t="shared" si="22"/>
        <v>0</v>
      </c>
      <c r="BB26" s="748">
        <f t="shared" si="22"/>
        <v>3</v>
      </c>
      <c r="BC26" s="590"/>
      <c r="BD26" s="588"/>
      <c r="BE26" s="299"/>
      <c r="BF26" s="300"/>
      <c r="BG26" s="112"/>
      <c r="BH26" s="541"/>
      <c r="BI26" s="15"/>
      <c r="BJ26" s="655" t="s">
        <v>870</v>
      </c>
      <c r="BK26" s="13"/>
      <c r="BL26" s="303"/>
      <c r="BM26" s="86" t="s">
        <v>1154</v>
      </c>
      <c r="BN26" s="303" t="s">
        <v>104</v>
      </c>
      <c r="BO26" s="86"/>
      <c r="BP26" s="445"/>
      <c r="BQ26" s="657"/>
      <c r="BR26" s="585"/>
      <c r="BS26" s="365"/>
      <c r="BT26" s="365"/>
      <c r="BU26" s="365"/>
      <c r="BV26" s="580"/>
      <c r="BW26" s="366"/>
      <c r="BX26"/>
      <c r="BY26"/>
      <c r="BZ26" s="685">
        <f>BZ27+LOOKUP("x",$D$28:$D$31,BZ$28:BZ$31)+LOOKUP("x",$D$32:$D$35,BZ$32:BZ$35)+LOOKUP("x",$D$36:$D$39,BZ$36:BZ$39)+LOOKUP("x",$D$40:$D$43,BZ$40:BZ$43)+LOOKUP("x",$D$44:$D$47,BZ$44:BZ$47)</f>
        <v>442</v>
      </c>
      <c r="CA26" s="21"/>
      <c r="CB26" s="605"/>
      <c r="CC26" s="610"/>
      <c r="CD26" s="601"/>
      <c r="CE26" s="329">
        <f t="shared" si="3"/>
        <v>410</v>
      </c>
      <c r="CF26" s="329">
        <f t="shared" si="4"/>
        <v>522.75</v>
      </c>
      <c r="CG26" s="329">
        <f t="shared" si="5"/>
        <v>666.5062499999999</v>
      </c>
      <c r="CH26" s="329">
        <f t="shared" si="6"/>
        <v>849.7954687499998</v>
      </c>
      <c r="CI26" s="329">
        <f t="shared" si="7"/>
        <v>1083.4892226562497</v>
      </c>
      <c r="CJ26" s="329">
        <f t="shared" si="8"/>
      </c>
      <c r="CK26" s="329">
        <f t="shared" si="9"/>
      </c>
      <c r="CL26" s="329">
        <f t="shared" si="10"/>
      </c>
      <c r="CM26" s="485" t="s">
        <v>1110</v>
      </c>
      <c r="CN26" s="724" t="s">
        <v>871</v>
      </c>
      <c r="CO26" s="835" t="s">
        <v>302</v>
      </c>
      <c r="CP26" s="836" t="s">
        <v>302</v>
      </c>
      <c r="CQ26" s="836" t="s">
        <v>302</v>
      </c>
      <c r="CR26" s="837" t="s">
        <v>302</v>
      </c>
      <c r="CS26" s="838" t="s">
        <v>302</v>
      </c>
      <c r="CT26" s="592"/>
      <c r="CU26" s="21" t="e">
        <f t="shared" si="11"/>
        <v>#VALUE!</v>
      </c>
      <c r="CV26" s="21" t="e">
        <f t="shared" si="12"/>
        <v>#VALUE!</v>
      </c>
      <c r="CX26" s="622">
        <f t="shared" si="13"/>
        <v>208.75</v>
      </c>
      <c r="CY26" s="623">
        <f t="shared" si="14"/>
        <v>200</v>
      </c>
      <c r="CZ26" s="624" t="str">
        <f t="shared" si="15"/>
        <v>S</v>
      </c>
      <c r="DA26" s="634">
        <f t="shared" si="16"/>
        <v>175</v>
      </c>
      <c r="DB26" s="591">
        <f t="shared" si="17"/>
        <v>14201000</v>
      </c>
      <c r="DC26" s="591">
        <f t="shared" si="18"/>
        <v>218.75</v>
      </c>
      <c r="DD26" s="591">
        <v>15000</v>
      </c>
      <c r="DI26" s="54">
        <v>1.6875</v>
      </c>
      <c r="DJ26" s="54">
        <v>6.25</v>
      </c>
      <c r="DK26" s="649">
        <f t="shared" si="19"/>
        <v>10.50874</v>
      </c>
    </row>
    <row r="27" spans="1:115" s="54" customFormat="1" ht="12.75">
      <c r="A27" s="24" t="s">
        <v>874</v>
      </c>
      <c r="B27" s="69" t="s">
        <v>874</v>
      </c>
      <c r="C27" s="636" t="s">
        <v>865</v>
      </c>
      <c r="D27" s="670" t="s">
        <v>214</v>
      </c>
      <c r="E27" s="374" t="s">
        <v>878</v>
      </c>
      <c r="F27" s="15"/>
      <c r="G27" s="18"/>
      <c r="H27" s="17"/>
      <c r="I27" s="323"/>
      <c r="J27" s="324"/>
      <c r="K27" s="188">
        <v>3</v>
      </c>
      <c r="L27" s="867"/>
      <c r="M27" s="895"/>
      <c r="N27" s="106">
        <v>400</v>
      </c>
      <c r="O27" s="455"/>
      <c r="P27" s="531"/>
      <c r="Q27" s="340">
        <v>1661</v>
      </c>
      <c r="R27" s="98"/>
      <c r="S27" s="326"/>
      <c r="T27" s="342">
        <v>8201</v>
      </c>
      <c r="U27" s="343">
        <v>92000</v>
      </c>
      <c r="V27" s="344">
        <v>5000</v>
      </c>
      <c r="W27" s="289">
        <v>0.31</v>
      </c>
      <c r="X27" s="340">
        <v>100</v>
      </c>
      <c r="Y27" s="43"/>
      <c r="Z27" s="44"/>
      <c r="AA27" s="44"/>
      <c r="AB27" s="49"/>
      <c r="AC27" s="345">
        <v>100</v>
      </c>
      <c r="AD27" s="312">
        <v>10</v>
      </c>
      <c r="AE27" s="292"/>
      <c r="AF27" s="46"/>
      <c r="AG27" s="48"/>
      <c r="AH27" s="48"/>
      <c r="AI27" s="47"/>
      <c r="AJ27" s="5"/>
      <c r="AK27" s="727"/>
      <c r="AL27" s="862">
        <v>100</v>
      </c>
      <c r="AM27" s="458">
        <v>10</v>
      </c>
      <c r="AN27" s="295"/>
      <c r="AO27" s="145"/>
      <c r="AP27" s="85" t="s">
        <v>1267</v>
      </c>
      <c r="AQ27" s="677"/>
      <c r="AR27" s="56"/>
      <c r="AS27" s="34"/>
      <c r="AT27" s="34"/>
      <c r="AU27" s="73"/>
      <c r="AV27" s="39">
        <v>100</v>
      </c>
      <c r="AW27" s="143">
        <v>10</v>
      </c>
      <c r="AX27" s="33"/>
      <c r="AY27" s="34"/>
      <c r="AZ27" s="34"/>
      <c r="BA27" s="84"/>
      <c r="BB27" s="748">
        <v>3</v>
      </c>
      <c r="BC27" s="590"/>
      <c r="BD27" s="588"/>
      <c r="BE27" s="299"/>
      <c r="BF27" s="300"/>
      <c r="BG27" s="112"/>
      <c r="BH27" s="541"/>
      <c r="BI27" s="301"/>
      <c r="BJ27" s="655" t="s">
        <v>870</v>
      </c>
      <c r="BK27" s="13"/>
      <c r="BL27" s="303" t="s">
        <v>1530</v>
      </c>
      <c r="BM27" s="86"/>
      <c r="BN27" s="303" t="s">
        <v>104</v>
      </c>
      <c r="BO27" s="86"/>
      <c r="BP27" s="445"/>
      <c r="BQ27" s="657"/>
      <c r="BR27" s="585"/>
      <c r="BS27" s="365"/>
      <c r="BT27" s="365"/>
      <c r="BU27" s="365"/>
      <c r="BV27" s="580"/>
      <c r="BW27" s="366"/>
      <c r="BX27"/>
      <c r="BY27"/>
      <c r="BZ27" s="608">
        <v>442</v>
      </c>
      <c r="CA27" s="21"/>
      <c r="CB27" s="605"/>
      <c r="CC27" s="600"/>
      <c r="CD27" s="601"/>
      <c r="CE27" s="329">
        <f t="shared" si="3"/>
        <v>0</v>
      </c>
      <c r="CF27" s="329">
        <f t="shared" si="4"/>
      </c>
      <c r="CG27" s="329">
        <f t="shared" si="5"/>
      </c>
      <c r="CH27" s="329">
        <f t="shared" si="6"/>
      </c>
      <c r="CI27" s="329">
        <f t="shared" si="7"/>
      </c>
      <c r="CJ27" s="329">
        <f t="shared" si="8"/>
      </c>
      <c r="CK27" s="329">
        <f t="shared" si="9"/>
      </c>
      <c r="CL27" s="329">
        <f t="shared" si="10"/>
      </c>
      <c r="CM27" s="485" t="s">
        <v>411</v>
      </c>
      <c r="CN27" s="724" t="s">
        <v>871</v>
      </c>
      <c r="CO27" s="440"/>
      <c r="CP27" s="392"/>
      <c r="CQ27" s="392"/>
      <c r="CR27" s="393"/>
      <c r="CS27" s="834"/>
      <c r="CT27" s="592"/>
      <c r="CU27" s="21" t="e">
        <f t="shared" si="11"/>
        <v>#DIV/0!</v>
      </c>
      <c r="CV27" s="21" t="e">
        <f t="shared" si="12"/>
        <v>#DIV/0!</v>
      </c>
      <c r="CX27" s="622">
        <f t="shared" si="13"/>
        <v>0</v>
      </c>
      <c r="CY27" s="623">
        <f t="shared" si="14"/>
        <v>0</v>
      </c>
      <c r="CZ27" s="624">
        <f t="shared" si="15"/>
        <v>0</v>
      </c>
      <c r="DA27" s="634">
        <f t="shared" si="16"/>
        <v>10</v>
      </c>
      <c r="DB27" s="591">
        <f t="shared" si="17"/>
        <v>8201000</v>
      </c>
      <c r="DC27" s="591">
        <f t="shared" si="18"/>
        <v>12.5</v>
      </c>
      <c r="DD27" s="591">
        <v>15000</v>
      </c>
      <c r="DI27" s="54">
        <v>1.6875</v>
      </c>
      <c r="DJ27" s="54">
        <v>6.25</v>
      </c>
      <c r="DK27" s="649">
        <f t="shared" si="19"/>
        <v>2.54231</v>
      </c>
    </row>
    <row r="28" spans="1:115" s="54" customFormat="1" ht="12.75">
      <c r="A28" s="24" t="s">
        <v>365</v>
      </c>
      <c r="B28" s="69"/>
      <c r="C28" s="636" t="s">
        <v>865</v>
      </c>
      <c r="D28" s="670"/>
      <c r="E28" s="374" t="s">
        <v>1688</v>
      </c>
      <c r="F28" s="15"/>
      <c r="G28" s="18">
        <v>1</v>
      </c>
      <c r="H28" s="732">
        <v>1</v>
      </c>
      <c r="I28" s="323"/>
      <c r="J28" s="324"/>
      <c r="K28" s="188"/>
      <c r="L28" s="867"/>
      <c r="M28" s="895"/>
      <c r="N28" s="106"/>
      <c r="O28" s="455"/>
      <c r="P28" s="531"/>
      <c r="Q28" s="340"/>
      <c r="R28" s="98">
        <v>420</v>
      </c>
      <c r="S28" s="326"/>
      <c r="T28" s="342">
        <v>1400</v>
      </c>
      <c r="U28" s="343"/>
      <c r="V28" s="344">
        <v>40</v>
      </c>
      <c r="W28" s="289"/>
      <c r="X28" s="340">
        <v>2150</v>
      </c>
      <c r="Y28" s="43">
        <v>50</v>
      </c>
      <c r="Z28" s="44">
        <v>10</v>
      </c>
      <c r="AA28" s="44">
        <v>62.5</v>
      </c>
      <c r="AB28" s="49">
        <v>86.25</v>
      </c>
      <c r="AC28" s="345">
        <v>3250</v>
      </c>
      <c r="AD28" s="312">
        <v>2160</v>
      </c>
      <c r="AE28" s="292"/>
      <c r="AF28" s="729">
        <v>0</v>
      </c>
      <c r="AG28" s="730">
        <v>50</v>
      </c>
      <c r="AH28" s="730">
        <v>70</v>
      </c>
      <c r="AI28" s="745">
        <v>80</v>
      </c>
      <c r="AJ28" s="5"/>
      <c r="AK28" s="727"/>
      <c r="AL28" s="862"/>
      <c r="AM28" s="458"/>
      <c r="AN28" s="295"/>
      <c r="AO28" s="145"/>
      <c r="AP28" s="85"/>
      <c r="AQ28" s="677"/>
      <c r="AR28" s="56"/>
      <c r="AS28" s="34"/>
      <c r="AT28" s="34"/>
      <c r="AU28" s="73"/>
      <c r="AV28" s="39">
        <v>165</v>
      </c>
      <c r="AW28" s="143"/>
      <c r="AX28" s="33"/>
      <c r="AY28" s="34"/>
      <c r="AZ28" s="34"/>
      <c r="BA28" s="84"/>
      <c r="BB28" s="748"/>
      <c r="BC28" s="590"/>
      <c r="BD28" s="588"/>
      <c r="BE28" s="299"/>
      <c r="BF28" s="300"/>
      <c r="BG28" s="112"/>
      <c r="BH28" s="541"/>
      <c r="BI28" s="301">
        <v>1</v>
      </c>
      <c r="BJ28" s="655" t="s">
        <v>870</v>
      </c>
      <c r="BK28" s="36" t="s">
        <v>1563</v>
      </c>
      <c r="BL28" s="303" t="s">
        <v>369</v>
      </c>
      <c r="BM28" s="86" t="s">
        <v>1621</v>
      </c>
      <c r="BN28" s="303" t="s">
        <v>104</v>
      </c>
      <c r="BO28" s="86"/>
      <c r="BP28" s="445"/>
      <c r="BQ28" s="657"/>
      <c r="BR28" s="585"/>
      <c r="BS28" s="365"/>
      <c r="BT28" s="365"/>
      <c r="BU28" s="365"/>
      <c r="BV28" s="580"/>
      <c r="BW28" s="366"/>
      <c r="BX28"/>
      <c r="BY28"/>
      <c r="BZ28" s="1"/>
      <c r="CA28" s="21"/>
      <c r="CB28" s="605"/>
      <c r="CC28" s="600"/>
      <c r="CD28" s="601"/>
      <c r="CE28" s="329">
        <f t="shared" si="3"/>
        <v>420</v>
      </c>
      <c r="CF28" s="329">
        <f t="shared" si="4"/>
      </c>
      <c r="CG28" s="329">
        <f t="shared" si="5"/>
      </c>
      <c r="CH28" s="329">
        <f t="shared" si="6"/>
      </c>
      <c r="CI28" s="329">
        <f t="shared" si="7"/>
      </c>
      <c r="CJ28" s="329">
        <f t="shared" si="8"/>
      </c>
      <c r="CK28" s="329">
        <f t="shared" si="9"/>
      </c>
      <c r="CL28" s="329">
        <f t="shared" si="10"/>
      </c>
      <c r="CM28" s="485" t="s">
        <v>1123</v>
      </c>
      <c r="CN28" s="724" t="s">
        <v>871</v>
      </c>
      <c r="CO28" s="440"/>
      <c r="CP28" s="392"/>
      <c r="CQ28" s="392"/>
      <c r="CR28" s="393"/>
      <c r="CS28" s="834"/>
      <c r="CT28" s="592"/>
      <c r="CU28" s="21" t="e">
        <f t="shared" si="11"/>
        <v>#DIV/0!</v>
      </c>
      <c r="CV28" s="21" t="e">
        <f t="shared" si="12"/>
        <v>#DIV/0!</v>
      </c>
      <c r="CX28" s="622">
        <f t="shared" si="13"/>
        <v>208.75</v>
      </c>
      <c r="CY28" s="623">
        <f t="shared" si="14"/>
        <v>200</v>
      </c>
      <c r="CZ28" s="624">
        <f t="shared" si="15"/>
        <v>0</v>
      </c>
      <c r="DA28" s="634">
        <f t="shared" si="16"/>
        <v>0</v>
      </c>
      <c r="DB28" s="591">
        <f t="shared" si="17"/>
        <v>1400000</v>
      </c>
      <c r="DC28" s="591">
        <f t="shared" si="18"/>
        <v>0</v>
      </c>
      <c r="DD28" s="591">
        <v>15000</v>
      </c>
      <c r="DI28" s="54">
        <v>1.6875</v>
      </c>
      <c r="DJ28" s="54">
        <v>6.25</v>
      </c>
      <c r="DK28" s="649">
        <f t="shared" si="19"/>
        <v>0</v>
      </c>
    </row>
    <row r="29" spans="1:115" s="54" customFormat="1" ht="12.75">
      <c r="A29" s="24" t="s">
        <v>1417</v>
      </c>
      <c r="B29" s="69"/>
      <c r="C29" s="636" t="s">
        <v>865</v>
      </c>
      <c r="D29" s="670"/>
      <c r="E29" s="374" t="s">
        <v>1688</v>
      </c>
      <c r="F29" s="15"/>
      <c r="G29" s="18">
        <v>2</v>
      </c>
      <c r="H29" s="839"/>
      <c r="I29" s="323"/>
      <c r="J29" s="324"/>
      <c r="K29" s="188"/>
      <c r="L29" s="867"/>
      <c r="M29" s="895"/>
      <c r="N29" s="106"/>
      <c r="O29" s="455"/>
      <c r="P29" s="531"/>
      <c r="Q29" s="340"/>
      <c r="R29" s="98">
        <v>440</v>
      </c>
      <c r="S29" s="326"/>
      <c r="T29" s="342">
        <v>1400</v>
      </c>
      <c r="U29" s="343"/>
      <c r="V29" s="344">
        <v>40</v>
      </c>
      <c r="W29" s="289"/>
      <c r="X29" s="340">
        <v>2350</v>
      </c>
      <c r="Y29" s="43">
        <v>50</v>
      </c>
      <c r="Z29" s="44">
        <v>10</v>
      </c>
      <c r="AA29" s="44">
        <v>62.5</v>
      </c>
      <c r="AB29" s="49">
        <v>86.25</v>
      </c>
      <c r="AC29" s="921">
        <v>3550</v>
      </c>
      <c r="AD29" s="312">
        <v>1620</v>
      </c>
      <c r="AE29" s="292"/>
      <c r="AF29" s="840">
        <v>0</v>
      </c>
      <c r="AG29" s="841">
        <v>50</v>
      </c>
      <c r="AH29" s="841">
        <v>70</v>
      </c>
      <c r="AI29" s="842">
        <v>80</v>
      </c>
      <c r="AJ29" s="5"/>
      <c r="AK29" s="727"/>
      <c r="AL29" s="862"/>
      <c r="AM29" s="458"/>
      <c r="AN29" s="295"/>
      <c r="AO29" s="145"/>
      <c r="AP29" s="85"/>
      <c r="AQ29" s="677"/>
      <c r="AR29" s="56"/>
      <c r="AS29" s="34"/>
      <c r="AT29" s="34"/>
      <c r="AU29" s="73"/>
      <c r="AV29" s="39">
        <v>150</v>
      </c>
      <c r="AW29" s="143"/>
      <c r="AX29" s="33"/>
      <c r="AY29" s="34"/>
      <c r="AZ29" s="34"/>
      <c r="BA29" s="84"/>
      <c r="BB29" s="748"/>
      <c r="BC29" s="590"/>
      <c r="BD29" s="588"/>
      <c r="BE29" s="299"/>
      <c r="BF29" s="300"/>
      <c r="BG29" s="112"/>
      <c r="BH29" s="541"/>
      <c r="BI29" s="301">
        <v>2</v>
      </c>
      <c r="BJ29" s="655" t="s">
        <v>870</v>
      </c>
      <c r="BK29" s="13" t="s">
        <v>387</v>
      </c>
      <c r="BL29" s="303" t="s">
        <v>370</v>
      </c>
      <c r="BM29" s="86" t="s">
        <v>1814</v>
      </c>
      <c r="BN29" s="303" t="s">
        <v>104</v>
      </c>
      <c r="BO29" s="86"/>
      <c r="BP29" s="445"/>
      <c r="BQ29" s="657"/>
      <c r="BR29" s="585"/>
      <c r="BS29" s="365"/>
      <c r="BT29" s="365"/>
      <c r="BU29" s="365"/>
      <c r="BV29" s="580"/>
      <c r="BW29" s="366"/>
      <c r="BX29"/>
      <c r="BY29"/>
      <c r="BZ29" s="1"/>
      <c r="CA29" s="21"/>
      <c r="CB29" s="605"/>
      <c r="CC29" s="610"/>
      <c r="CD29" s="601"/>
      <c r="CE29" s="329">
        <f t="shared" si="3"/>
        <v>440</v>
      </c>
      <c r="CF29" s="329">
        <f t="shared" si="4"/>
      </c>
      <c r="CG29" s="329">
        <f t="shared" si="5"/>
      </c>
      <c r="CH29" s="329">
        <f t="shared" si="6"/>
      </c>
      <c r="CI29" s="329">
        <f t="shared" si="7"/>
      </c>
      <c r="CJ29" s="329">
        <f t="shared" si="8"/>
      </c>
      <c r="CK29" s="329">
        <f t="shared" si="9"/>
      </c>
      <c r="CL29" s="329">
        <f t="shared" si="10"/>
      </c>
      <c r="CM29" s="485" t="s">
        <v>1510</v>
      </c>
      <c r="CN29" s="724" t="s">
        <v>871</v>
      </c>
      <c r="CO29" s="440"/>
      <c r="CP29" s="392"/>
      <c r="CQ29" s="392"/>
      <c r="CR29" s="393"/>
      <c r="CS29" s="834"/>
      <c r="CT29" s="592"/>
      <c r="CU29" s="21" t="e">
        <f t="shared" si="11"/>
        <v>#DIV/0!</v>
      </c>
      <c r="CV29" s="21" t="e">
        <f t="shared" si="12"/>
        <v>#DIV/0!</v>
      </c>
      <c r="CX29" s="622">
        <f t="shared" si="13"/>
        <v>208.75</v>
      </c>
      <c r="CY29" s="623">
        <f t="shared" si="14"/>
        <v>200</v>
      </c>
      <c r="CZ29" s="624">
        <f t="shared" si="15"/>
        <v>0</v>
      </c>
      <c r="DA29" s="634">
        <f t="shared" si="16"/>
        <v>0</v>
      </c>
      <c r="DB29" s="591">
        <f t="shared" si="17"/>
        <v>1400000</v>
      </c>
      <c r="DC29" s="591">
        <f t="shared" si="18"/>
        <v>0</v>
      </c>
      <c r="DD29" s="591">
        <v>15000</v>
      </c>
      <c r="DI29" s="54">
        <v>1.6875</v>
      </c>
      <c r="DJ29" s="54">
        <v>6.25</v>
      </c>
      <c r="DK29" s="649">
        <f t="shared" si="19"/>
        <v>0</v>
      </c>
    </row>
    <row r="30" spans="1:115" s="54" customFormat="1" ht="12.75">
      <c r="A30" s="24" t="s">
        <v>364</v>
      </c>
      <c r="B30" s="69"/>
      <c r="C30" s="636" t="s">
        <v>865</v>
      </c>
      <c r="D30" s="670" t="s">
        <v>214</v>
      </c>
      <c r="E30" s="374" t="s">
        <v>1688</v>
      </c>
      <c r="F30" s="15"/>
      <c r="G30" s="18">
        <v>2</v>
      </c>
      <c r="H30" s="17"/>
      <c r="I30" s="323"/>
      <c r="J30" s="324"/>
      <c r="K30" s="188"/>
      <c r="L30" s="867"/>
      <c r="M30" s="895"/>
      <c r="N30" s="106"/>
      <c r="O30" s="455"/>
      <c r="P30" s="531"/>
      <c r="Q30" s="340"/>
      <c r="R30" s="98">
        <v>410</v>
      </c>
      <c r="S30" s="326"/>
      <c r="T30" s="342">
        <v>1400</v>
      </c>
      <c r="U30" s="343"/>
      <c r="V30" s="344">
        <v>40</v>
      </c>
      <c r="W30" s="289"/>
      <c r="X30" s="340">
        <v>2500</v>
      </c>
      <c r="Y30" s="43">
        <v>50</v>
      </c>
      <c r="Z30" s="44">
        <v>10</v>
      </c>
      <c r="AA30" s="44">
        <v>62.5</v>
      </c>
      <c r="AB30" s="49">
        <v>86.25</v>
      </c>
      <c r="AC30" s="922">
        <v>3750</v>
      </c>
      <c r="AD30" s="312">
        <v>2430</v>
      </c>
      <c r="AE30" s="292"/>
      <c r="AF30" s="46">
        <v>0</v>
      </c>
      <c r="AG30" s="48">
        <v>50</v>
      </c>
      <c r="AH30" s="48">
        <v>70</v>
      </c>
      <c r="AI30" s="47">
        <v>80</v>
      </c>
      <c r="AJ30" s="5"/>
      <c r="AK30" s="727"/>
      <c r="AL30" s="862"/>
      <c r="AM30" s="458"/>
      <c r="AN30" s="295"/>
      <c r="AO30" s="145"/>
      <c r="AP30" s="85"/>
      <c r="AQ30" s="677"/>
      <c r="AR30" s="56"/>
      <c r="AS30" s="34"/>
      <c r="AT30" s="34"/>
      <c r="AU30" s="73"/>
      <c r="AV30" s="39">
        <v>157</v>
      </c>
      <c r="AW30" s="143"/>
      <c r="AX30" s="33"/>
      <c r="AY30" s="34"/>
      <c r="AZ30" s="34"/>
      <c r="BA30" s="84"/>
      <c r="BB30" s="748"/>
      <c r="BC30" s="590"/>
      <c r="BD30" s="588"/>
      <c r="BE30" s="299"/>
      <c r="BF30" s="300"/>
      <c r="BG30" s="112"/>
      <c r="BH30" s="541"/>
      <c r="BI30" s="301">
        <v>3</v>
      </c>
      <c r="BJ30" s="655" t="s">
        <v>870</v>
      </c>
      <c r="BK30" s="36" t="s">
        <v>387</v>
      </c>
      <c r="BL30" s="303" t="s">
        <v>368</v>
      </c>
      <c r="BM30" s="86" t="s">
        <v>1619</v>
      </c>
      <c r="BN30" s="303" t="s">
        <v>104</v>
      </c>
      <c r="BO30" s="86"/>
      <c r="BP30" s="445"/>
      <c r="BQ30" s="657"/>
      <c r="BR30" s="585"/>
      <c r="BS30" s="365"/>
      <c r="BT30" s="365"/>
      <c r="BU30" s="365"/>
      <c r="BV30" s="580"/>
      <c r="BW30" s="366"/>
      <c r="BX30"/>
      <c r="BY30"/>
      <c r="BZ30" s="1"/>
      <c r="CA30" s="21"/>
      <c r="CB30" s="605"/>
      <c r="CC30" s="600"/>
      <c r="CD30" s="601"/>
      <c r="CE30" s="329">
        <f t="shared" si="3"/>
        <v>410</v>
      </c>
      <c r="CF30" s="329">
        <f t="shared" si="4"/>
      </c>
      <c r="CG30" s="329">
        <f t="shared" si="5"/>
      </c>
      <c r="CH30" s="329">
        <f t="shared" si="6"/>
      </c>
      <c r="CI30" s="329">
        <f t="shared" si="7"/>
      </c>
      <c r="CJ30" s="329">
        <f t="shared" si="8"/>
      </c>
      <c r="CK30" s="329">
        <f t="shared" si="9"/>
      </c>
      <c r="CL30" s="329">
        <f t="shared" si="10"/>
      </c>
      <c r="CM30" s="485" t="s">
        <v>411</v>
      </c>
      <c r="CN30" s="724" t="s">
        <v>871</v>
      </c>
      <c r="CO30" s="440" t="s">
        <v>1575</v>
      </c>
      <c r="CP30" s="392"/>
      <c r="CQ30" s="392"/>
      <c r="CR30" s="393"/>
      <c r="CS30" s="834"/>
      <c r="CT30" s="592"/>
      <c r="CU30" s="21" t="e">
        <f t="shared" si="11"/>
        <v>#DIV/0!</v>
      </c>
      <c r="CV30" s="21" t="e">
        <f t="shared" si="12"/>
        <v>#DIV/0!</v>
      </c>
      <c r="CX30" s="622">
        <f t="shared" si="13"/>
        <v>208.75</v>
      </c>
      <c r="CY30" s="623">
        <f t="shared" si="14"/>
        <v>200</v>
      </c>
      <c r="CZ30" s="624">
        <f t="shared" si="15"/>
        <v>0</v>
      </c>
      <c r="DA30" s="634">
        <f t="shared" si="16"/>
        <v>0</v>
      </c>
      <c r="DB30" s="591">
        <f t="shared" si="17"/>
        <v>1400000</v>
      </c>
      <c r="DC30" s="591">
        <f t="shared" si="18"/>
        <v>0</v>
      </c>
      <c r="DD30" s="591">
        <v>15000</v>
      </c>
      <c r="DI30" s="54">
        <v>1.6875</v>
      </c>
      <c r="DJ30" s="54">
        <v>6.25</v>
      </c>
      <c r="DK30" s="649">
        <f t="shared" si="19"/>
        <v>0</v>
      </c>
    </row>
    <row r="31" spans="1:115" s="54" customFormat="1" ht="12.75">
      <c r="A31" s="24" t="s">
        <v>707</v>
      </c>
      <c r="B31" s="69"/>
      <c r="C31" s="636" t="s">
        <v>865</v>
      </c>
      <c r="D31" s="670"/>
      <c r="E31" s="374" t="s">
        <v>1688</v>
      </c>
      <c r="F31" s="15"/>
      <c r="G31" s="18">
        <v>1</v>
      </c>
      <c r="H31" s="732">
        <v>1</v>
      </c>
      <c r="I31" s="323"/>
      <c r="J31" s="324"/>
      <c r="K31" s="188"/>
      <c r="L31" s="867"/>
      <c r="M31" s="895"/>
      <c r="N31" s="106"/>
      <c r="O31" s="455"/>
      <c r="P31" s="531"/>
      <c r="Q31" s="340"/>
      <c r="R31" s="98">
        <v>290</v>
      </c>
      <c r="S31" s="326"/>
      <c r="T31" s="342">
        <v>1400</v>
      </c>
      <c r="U31" s="343"/>
      <c r="V31" s="344">
        <v>40</v>
      </c>
      <c r="W31" s="289"/>
      <c r="X31" s="340">
        <v>2150</v>
      </c>
      <c r="Y31" s="43">
        <v>50</v>
      </c>
      <c r="Z31" s="44">
        <v>10</v>
      </c>
      <c r="AA31" s="44">
        <v>62.5</v>
      </c>
      <c r="AB31" s="49">
        <v>86.25</v>
      </c>
      <c r="AC31" s="345">
        <v>3250</v>
      </c>
      <c r="AD31" s="312">
        <v>1620</v>
      </c>
      <c r="AE31" s="292"/>
      <c r="AF31" s="46">
        <v>0</v>
      </c>
      <c r="AG31" s="48">
        <v>50</v>
      </c>
      <c r="AH31" s="48">
        <v>70</v>
      </c>
      <c r="AI31" s="47">
        <v>80</v>
      </c>
      <c r="AJ31" s="5"/>
      <c r="AK31" s="727"/>
      <c r="AL31" s="862"/>
      <c r="AM31" s="458"/>
      <c r="AN31" s="295"/>
      <c r="AO31" s="145"/>
      <c r="AP31" s="85"/>
      <c r="AQ31" s="677"/>
      <c r="AR31" s="56"/>
      <c r="AS31" s="34"/>
      <c r="AT31" s="34"/>
      <c r="AU31" s="73"/>
      <c r="AV31" s="39">
        <v>150</v>
      </c>
      <c r="AW31" s="143"/>
      <c r="AX31" s="33"/>
      <c r="AY31" s="34"/>
      <c r="AZ31" s="34"/>
      <c r="BA31" s="84"/>
      <c r="BB31" s="748"/>
      <c r="BC31" s="590"/>
      <c r="BD31" s="588"/>
      <c r="BE31" s="299"/>
      <c r="BF31" s="300"/>
      <c r="BG31" s="112"/>
      <c r="BH31" s="541"/>
      <c r="BI31" s="301">
        <v>4</v>
      </c>
      <c r="BJ31" s="655" t="s">
        <v>870</v>
      </c>
      <c r="BK31" s="36" t="s">
        <v>64</v>
      </c>
      <c r="BL31" s="303" t="s">
        <v>1620</v>
      </c>
      <c r="BM31" s="86" t="s">
        <v>1073</v>
      </c>
      <c r="BN31" s="303" t="s">
        <v>104</v>
      </c>
      <c r="BO31" s="86"/>
      <c r="BP31" s="445"/>
      <c r="BQ31" s="657"/>
      <c r="BR31" s="585"/>
      <c r="BS31" s="365"/>
      <c r="BT31" s="365"/>
      <c r="BU31" s="365"/>
      <c r="BV31" s="580"/>
      <c r="BW31" s="366"/>
      <c r="BX31"/>
      <c r="BY31"/>
      <c r="BZ31" s="1"/>
      <c r="CA31" s="21"/>
      <c r="CB31" s="605"/>
      <c r="CC31" s="600"/>
      <c r="CD31" s="601"/>
      <c r="CE31" s="329">
        <f t="shared" si="3"/>
        <v>290</v>
      </c>
      <c r="CF31" s="329">
        <f t="shared" si="4"/>
      </c>
      <c r="CG31" s="329">
        <f t="shared" si="5"/>
      </c>
      <c r="CH31" s="329">
        <f t="shared" si="6"/>
      </c>
      <c r="CI31" s="329">
        <f t="shared" si="7"/>
      </c>
      <c r="CJ31" s="329">
        <f t="shared" si="8"/>
      </c>
      <c r="CK31" s="329">
        <f t="shared" si="9"/>
      </c>
      <c r="CL31" s="329">
        <f t="shared" si="10"/>
      </c>
      <c r="CM31" s="485" t="s">
        <v>411</v>
      </c>
      <c r="CN31" s="724" t="s">
        <v>871</v>
      </c>
      <c r="CO31" s="440"/>
      <c r="CP31" s="392"/>
      <c r="CQ31" s="392"/>
      <c r="CR31" s="393"/>
      <c r="CS31" s="834"/>
      <c r="CT31" s="592"/>
      <c r="CU31" s="21" t="e">
        <f t="shared" si="11"/>
        <v>#DIV/0!</v>
      </c>
      <c r="CV31" s="21" t="e">
        <f t="shared" si="12"/>
        <v>#DIV/0!</v>
      </c>
      <c r="CX31" s="622">
        <f t="shared" si="13"/>
        <v>208.75</v>
      </c>
      <c r="CY31" s="623">
        <f t="shared" si="14"/>
        <v>200</v>
      </c>
      <c r="CZ31" s="624">
        <f t="shared" si="15"/>
        <v>0</v>
      </c>
      <c r="DA31" s="634">
        <f t="shared" si="16"/>
        <v>0</v>
      </c>
      <c r="DB31" s="591">
        <f t="shared" si="17"/>
        <v>1400000</v>
      </c>
      <c r="DC31" s="591">
        <f t="shared" si="18"/>
        <v>0</v>
      </c>
      <c r="DD31" s="591">
        <v>15000</v>
      </c>
      <c r="DI31" s="54">
        <v>1.6875</v>
      </c>
      <c r="DJ31" s="54">
        <v>6.25</v>
      </c>
      <c r="DK31" s="649">
        <f t="shared" si="19"/>
        <v>0</v>
      </c>
    </row>
    <row r="32" spans="1:115" s="54" customFormat="1" ht="12.75">
      <c r="A32" s="24" t="s">
        <v>366</v>
      </c>
      <c r="B32" s="69"/>
      <c r="C32" s="636" t="s">
        <v>865</v>
      </c>
      <c r="D32" s="670"/>
      <c r="E32" s="374" t="s">
        <v>1689</v>
      </c>
      <c r="F32" s="15">
        <v>1</v>
      </c>
      <c r="G32" s="18">
        <v>3</v>
      </c>
      <c r="H32" s="17"/>
      <c r="I32" s="323"/>
      <c r="J32" s="324"/>
      <c r="K32" s="188"/>
      <c r="L32" s="869">
        <v>420</v>
      </c>
      <c r="M32" s="895"/>
      <c r="N32" s="106"/>
      <c r="O32" s="455"/>
      <c r="P32" s="531"/>
      <c r="Q32" s="340"/>
      <c r="R32" s="98"/>
      <c r="S32" s="326"/>
      <c r="T32" s="342">
        <v>1200</v>
      </c>
      <c r="U32" s="343"/>
      <c r="V32" s="344">
        <v>40</v>
      </c>
      <c r="W32" s="289"/>
      <c r="X32" s="340"/>
      <c r="Y32" s="43"/>
      <c r="Z32" s="44"/>
      <c r="AA32" s="44"/>
      <c r="AB32" s="49"/>
      <c r="AC32" s="345"/>
      <c r="AD32" s="312"/>
      <c r="AE32" s="292"/>
      <c r="AF32" s="46"/>
      <c r="AG32" s="48"/>
      <c r="AH32" s="48"/>
      <c r="AI32" s="47"/>
      <c r="AJ32" s="5"/>
      <c r="AK32" s="727"/>
      <c r="AL32" s="862"/>
      <c r="AM32" s="458"/>
      <c r="AN32" s="295"/>
      <c r="AO32" s="145">
        <v>65</v>
      </c>
      <c r="AP32" s="85"/>
      <c r="AQ32" s="677">
        <v>210</v>
      </c>
      <c r="AR32" s="56"/>
      <c r="AS32" s="34">
        <v>18</v>
      </c>
      <c r="AT32" s="34"/>
      <c r="AU32" s="73"/>
      <c r="AV32" s="39"/>
      <c r="AW32" s="143"/>
      <c r="AX32" s="33"/>
      <c r="AY32" s="34"/>
      <c r="AZ32" s="34"/>
      <c r="BA32" s="84"/>
      <c r="BB32" s="748"/>
      <c r="BC32" s="590"/>
      <c r="BD32" s="588"/>
      <c r="BE32" s="299"/>
      <c r="BF32" s="300"/>
      <c r="BG32" s="112"/>
      <c r="BH32" s="541"/>
      <c r="BI32" s="301">
        <v>3</v>
      </c>
      <c r="BJ32" s="655" t="s">
        <v>870</v>
      </c>
      <c r="BK32" s="36" t="s">
        <v>828</v>
      </c>
      <c r="BL32" s="303" t="s">
        <v>367</v>
      </c>
      <c r="BM32" s="86" t="s">
        <v>1674</v>
      </c>
      <c r="BN32" s="303" t="s">
        <v>104</v>
      </c>
      <c r="BO32" s="86"/>
      <c r="BP32" s="445"/>
      <c r="BQ32" s="657"/>
      <c r="BR32" s="585"/>
      <c r="BS32" s="365"/>
      <c r="BT32" s="365"/>
      <c r="BU32" s="365"/>
      <c r="BV32" s="580"/>
      <c r="BW32" s="366"/>
      <c r="BX32"/>
      <c r="BY32"/>
      <c r="BZ32" s="1"/>
      <c r="CA32" s="21"/>
      <c r="CB32" s="605"/>
      <c r="CC32" s="600"/>
      <c r="CD32" s="601"/>
      <c r="CE32" s="329">
        <f t="shared" si="3"/>
        <v>0</v>
      </c>
      <c r="CF32" s="329">
        <f t="shared" si="4"/>
        <v>0</v>
      </c>
      <c r="CG32" s="329">
        <f t="shared" si="5"/>
      </c>
      <c r="CH32" s="329">
        <f t="shared" si="6"/>
      </c>
      <c r="CI32" s="329">
        <f t="shared" si="7"/>
      </c>
      <c r="CJ32" s="329">
        <f t="shared" si="8"/>
      </c>
      <c r="CK32" s="329">
        <f t="shared" si="9"/>
      </c>
      <c r="CL32" s="329">
        <f t="shared" si="10"/>
      </c>
      <c r="CM32" s="485" t="s">
        <v>411</v>
      </c>
      <c r="CN32" s="724" t="s">
        <v>871</v>
      </c>
      <c r="CO32" s="440"/>
      <c r="CP32" s="392"/>
      <c r="CQ32" s="392"/>
      <c r="CR32" s="393"/>
      <c r="CS32" s="834"/>
      <c r="CT32" s="592"/>
      <c r="CU32" s="21" t="e">
        <f t="shared" si="11"/>
        <v>#DIV/0!</v>
      </c>
      <c r="CV32" s="21" t="e">
        <f t="shared" si="12"/>
        <v>#DIV/0!</v>
      </c>
      <c r="CX32" s="622">
        <f t="shared" si="13"/>
        <v>0</v>
      </c>
      <c r="CY32" s="623">
        <f t="shared" si="14"/>
        <v>0</v>
      </c>
      <c r="CZ32" s="624">
        <f t="shared" si="15"/>
        <v>0</v>
      </c>
      <c r="DA32" s="634">
        <f t="shared" si="16"/>
        <v>0</v>
      </c>
      <c r="DB32" s="591">
        <f t="shared" si="17"/>
        <v>1200000</v>
      </c>
      <c r="DC32" s="591">
        <f t="shared" si="18"/>
        <v>0</v>
      </c>
      <c r="DD32" s="591">
        <v>15000</v>
      </c>
      <c r="DI32" s="54">
        <v>1.6875</v>
      </c>
      <c r="DJ32" s="54">
        <v>6.25</v>
      </c>
      <c r="DK32" s="649">
        <f t="shared" si="19"/>
        <v>0</v>
      </c>
    </row>
    <row r="33" spans="1:115" s="54" customFormat="1" ht="12.75">
      <c r="A33" s="24" t="s">
        <v>790</v>
      </c>
      <c r="B33" s="69"/>
      <c r="C33" s="636" t="s">
        <v>865</v>
      </c>
      <c r="D33" s="670"/>
      <c r="E33" s="374" t="s">
        <v>1689</v>
      </c>
      <c r="F33" s="15">
        <v>1</v>
      </c>
      <c r="G33" s="18">
        <v>3</v>
      </c>
      <c r="H33" s="17"/>
      <c r="I33" s="323"/>
      <c r="J33" s="324"/>
      <c r="K33" s="188"/>
      <c r="L33" s="867">
        <v>475</v>
      </c>
      <c r="M33" s="895"/>
      <c r="N33" s="106"/>
      <c r="O33" s="455"/>
      <c r="P33" s="531"/>
      <c r="Q33" s="340"/>
      <c r="R33" s="98"/>
      <c r="S33" s="326"/>
      <c r="T33" s="342">
        <v>1200</v>
      </c>
      <c r="U33" s="343"/>
      <c r="V33" s="344">
        <v>40</v>
      </c>
      <c r="W33" s="289"/>
      <c r="X33" s="340"/>
      <c r="Y33" s="43"/>
      <c r="Z33" s="44"/>
      <c r="AA33" s="44"/>
      <c r="AB33" s="49"/>
      <c r="AC33" s="345"/>
      <c r="AD33" s="312"/>
      <c r="AE33" s="292"/>
      <c r="AF33" s="46"/>
      <c r="AG33" s="48"/>
      <c r="AH33" s="48"/>
      <c r="AI33" s="47"/>
      <c r="AJ33" s="5"/>
      <c r="AK33" s="727"/>
      <c r="AL33" s="862"/>
      <c r="AM33" s="458"/>
      <c r="AN33" s="295"/>
      <c r="AO33" s="905">
        <v>75</v>
      </c>
      <c r="AP33" s="85"/>
      <c r="AQ33" s="677">
        <v>235</v>
      </c>
      <c r="AR33" s="56"/>
      <c r="AS33" s="742">
        <v>20</v>
      </c>
      <c r="AT33" s="34"/>
      <c r="AU33" s="73"/>
      <c r="AV33" s="39"/>
      <c r="AW33" s="143"/>
      <c r="AX33" s="33"/>
      <c r="AY33" s="34"/>
      <c r="AZ33" s="34"/>
      <c r="BA33" s="84"/>
      <c r="BB33" s="748"/>
      <c r="BC33" s="590"/>
      <c r="BD33" s="588"/>
      <c r="BE33" s="299"/>
      <c r="BF33" s="300"/>
      <c r="BG33" s="112"/>
      <c r="BH33" s="541"/>
      <c r="BI33" s="301">
        <v>2</v>
      </c>
      <c r="BJ33" s="655" t="s">
        <v>870</v>
      </c>
      <c r="BK33" s="36" t="s">
        <v>1572</v>
      </c>
      <c r="BL33" s="303" t="s">
        <v>1675</v>
      </c>
      <c r="BM33" s="86" t="s">
        <v>1503</v>
      </c>
      <c r="BN33" s="303" t="s">
        <v>104</v>
      </c>
      <c r="BO33" s="86"/>
      <c r="BP33" s="445"/>
      <c r="BQ33" s="657"/>
      <c r="BR33" s="585"/>
      <c r="BS33" s="365"/>
      <c r="BT33" s="365"/>
      <c r="BU33" s="365"/>
      <c r="BV33" s="580"/>
      <c r="BW33" s="366"/>
      <c r="BX33"/>
      <c r="BY33"/>
      <c r="BZ33" s="1"/>
      <c r="CA33" s="21"/>
      <c r="CB33" s="605"/>
      <c r="CC33" s="600"/>
      <c r="CD33" s="601"/>
      <c r="CE33" s="329">
        <f t="shared" si="3"/>
        <v>0</v>
      </c>
      <c r="CF33" s="329">
        <f t="shared" si="4"/>
        <v>0</v>
      </c>
      <c r="CG33" s="329">
        <f t="shared" si="5"/>
      </c>
      <c r="CH33" s="329">
        <f t="shared" si="6"/>
      </c>
      <c r="CI33" s="329">
        <f t="shared" si="7"/>
      </c>
      <c r="CJ33" s="329">
        <f t="shared" si="8"/>
      </c>
      <c r="CK33" s="329">
        <f t="shared" si="9"/>
      </c>
      <c r="CL33" s="329">
        <f t="shared" si="10"/>
      </c>
      <c r="CM33" s="485" t="s">
        <v>1123</v>
      </c>
      <c r="CN33" s="724" t="s">
        <v>871</v>
      </c>
      <c r="CO33" s="440"/>
      <c r="CP33" s="392"/>
      <c r="CQ33" s="392"/>
      <c r="CR33" s="393"/>
      <c r="CS33" s="834"/>
      <c r="CT33" s="592"/>
      <c r="CU33" s="21" t="e">
        <f t="shared" si="11"/>
        <v>#DIV/0!</v>
      </c>
      <c r="CV33" s="21" t="e">
        <f t="shared" si="12"/>
        <v>#DIV/0!</v>
      </c>
      <c r="CX33" s="622">
        <f t="shared" si="13"/>
        <v>0</v>
      </c>
      <c r="CY33" s="623">
        <f t="shared" si="14"/>
        <v>0</v>
      </c>
      <c r="CZ33" s="624">
        <f t="shared" si="15"/>
        <v>0</v>
      </c>
      <c r="DA33" s="634">
        <f t="shared" si="16"/>
        <v>0</v>
      </c>
      <c r="DB33" s="591">
        <f t="shared" si="17"/>
        <v>1200000</v>
      </c>
      <c r="DC33" s="591">
        <f t="shared" si="18"/>
        <v>0</v>
      </c>
      <c r="DD33" s="591">
        <v>15000</v>
      </c>
      <c r="DI33" s="54">
        <v>1.6875</v>
      </c>
      <c r="DJ33" s="54">
        <v>6.25</v>
      </c>
      <c r="DK33" s="649">
        <f t="shared" si="19"/>
        <v>0</v>
      </c>
    </row>
    <row r="34" spans="1:115" s="54" customFormat="1" ht="12.75">
      <c r="A34" s="24" t="s">
        <v>708</v>
      </c>
      <c r="B34" s="69"/>
      <c r="C34" s="636" t="s">
        <v>865</v>
      </c>
      <c r="D34" s="670"/>
      <c r="E34" s="374" t="s">
        <v>1689</v>
      </c>
      <c r="F34" s="15"/>
      <c r="G34" s="843">
        <v>4</v>
      </c>
      <c r="H34" s="732"/>
      <c r="I34" s="323"/>
      <c r="J34" s="324"/>
      <c r="K34" s="188"/>
      <c r="L34" s="867">
        <v>475</v>
      </c>
      <c r="M34" s="895"/>
      <c r="N34" s="106"/>
      <c r="O34" s="455"/>
      <c r="P34" s="531"/>
      <c r="Q34" s="340"/>
      <c r="R34" s="98"/>
      <c r="S34" s="326"/>
      <c r="T34" s="342">
        <v>1200</v>
      </c>
      <c r="U34" s="343"/>
      <c r="V34" s="344">
        <v>40</v>
      </c>
      <c r="W34" s="289"/>
      <c r="X34" s="340"/>
      <c r="Y34" s="43"/>
      <c r="Z34" s="44"/>
      <c r="AA34" s="44"/>
      <c r="AB34" s="49"/>
      <c r="AC34" s="345"/>
      <c r="AD34" s="312"/>
      <c r="AE34" s="292"/>
      <c r="AF34" s="46"/>
      <c r="AG34" s="48"/>
      <c r="AH34" s="48"/>
      <c r="AI34" s="47"/>
      <c r="AJ34" s="5"/>
      <c r="AK34" s="727"/>
      <c r="AL34" s="862"/>
      <c r="AM34" s="458"/>
      <c r="AN34" s="295"/>
      <c r="AO34" s="145">
        <v>65</v>
      </c>
      <c r="AP34" s="85"/>
      <c r="AQ34" s="677">
        <v>250</v>
      </c>
      <c r="AR34" s="56"/>
      <c r="AS34" s="34">
        <v>20</v>
      </c>
      <c r="AT34" s="34"/>
      <c r="AU34" s="73"/>
      <c r="AV34" s="39"/>
      <c r="AW34" s="143"/>
      <c r="AX34" s="33"/>
      <c r="AY34" s="34"/>
      <c r="AZ34" s="34"/>
      <c r="BA34" s="84"/>
      <c r="BB34" s="748"/>
      <c r="BC34" s="590"/>
      <c r="BD34" s="588"/>
      <c r="BE34" s="299"/>
      <c r="BF34" s="300"/>
      <c r="BG34" s="112"/>
      <c r="BH34" s="541"/>
      <c r="BI34" s="301">
        <v>4</v>
      </c>
      <c r="BJ34" s="655" t="s">
        <v>870</v>
      </c>
      <c r="BK34" s="36" t="s">
        <v>600</v>
      </c>
      <c r="BL34" s="303" t="s">
        <v>1505</v>
      </c>
      <c r="BM34" s="86" t="s">
        <v>1744</v>
      </c>
      <c r="BN34" s="303" t="s">
        <v>104</v>
      </c>
      <c r="BO34" s="86"/>
      <c r="BP34" s="445"/>
      <c r="BQ34" s="657"/>
      <c r="BR34" s="585"/>
      <c r="BS34" s="365"/>
      <c r="BT34" s="365"/>
      <c r="BU34" s="365"/>
      <c r="BV34" s="580"/>
      <c r="BW34" s="366"/>
      <c r="BX34"/>
      <c r="BY34"/>
      <c r="BZ34" s="1"/>
      <c r="CA34" s="21"/>
      <c r="CB34" s="605"/>
      <c r="CC34" s="610"/>
      <c r="CD34" s="601"/>
      <c r="CE34" s="329">
        <f t="shared" si="3"/>
        <v>0</v>
      </c>
      <c r="CF34" s="329">
        <f t="shared" si="4"/>
      </c>
      <c r="CG34" s="329">
        <f t="shared" si="5"/>
      </c>
      <c r="CH34" s="329">
        <f t="shared" si="6"/>
      </c>
      <c r="CI34" s="329">
        <f t="shared" si="7"/>
      </c>
      <c r="CJ34" s="329">
        <f t="shared" si="8"/>
      </c>
      <c r="CK34" s="329">
        <f t="shared" si="9"/>
      </c>
      <c r="CL34" s="329">
        <f t="shared" si="10"/>
      </c>
      <c r="CM34" s="485" t="s">
        <v>1510</v>
      </c>
      <c r="CN34" s="724" t="s">
        <v>871</v>
      </c>
      <c r="CO34" s="440"/>
      <c r="CP34" s="392"/>
      <c r="CQ34" s="392"/>
      <c r="CR34" s="393"/>
      <c r="CS34" s="834"/>
      <c r="CT34" s="592"/>
      <c r="CU34" s="21" t="e">
        <f t="shared" si="11"/>
        <v>#DIV/0!</v>
      </c>
      <c r="CV34" s="21" t="e">
        <f t="shared" si="12"/>
        <v>#DIV/0!</v>
      </c>
      <c r="CX34" s="622">
        <f t="shared" si="13"/>
        <v>0</v>
      </c>
      <c r="CY34" s="623">
        <f t="shared" si="14"/>
        <v>0</v>
      </c>
      <c r="CZ34" s="624">
        <f t="shared" si="15"/>
        <v>0</v>
      </c>
      <c r="DA34" s="634">
        <f t="shared" si="16"/>
        <v>0</v>
      </c>
      <c r="DB34" s="591">
        <f t="shared" si="17"/>
        <v>1200000</v>
      </c>
      <c r="DC34" s="591">
        <f t="shared" si="18"/>
        <v>0</v>
      </c>
      <c r="DD34" s="591">
        <v>15000</v>
      </c>
      <c r="DI34" s="54">
        <v>1.6875</v>
      </c>
      <c r="DJ34" s="54">
        <v>6.25</v>
      </c>
      <c r="DK34" s="649">
        <f t="shared" si="19"/>
        <v>0</v>
      </c>
    </row>
    <row r="35" spans="1:115" s="54" customFormat="1" ht="12.75">
      <c r="A35" s="24" t="s">
        <v>371</v>
      </c>
      <c r="B35" s="69"/>
      <c r="C35" s="636" t="s">
        <v>865</v>
      </c>
      <c r="D35" s="670" t="s">
        <v>214</v>
      </c>
      <c r="E35" s="374" t="s">
        <v>1689</v>
      </c>
      <c r="F35" s="15"/>
      <c r="G35" s="739">
        <v>4</v>
      </c>
      <c r="H35" s="17"/>
      <c r="I35" s="323"/>
      <c r="J35" s="324"/>
      <c r="K35" s="188"/>
      <c r="L35" s="867">
        <v>460</v>
      </c>
      <c r="M35" s="895"/>
      <c r="N35" s="106"/>
      <c r="O35" s="455"/>
      <c r="P35" s="531"/>
      <c r="Q35" s="340"/>
      <c r="R35" s="98"/>
      <c r="S35" s="326"/>
      <c r="T35" s="342">
        <v>1200</v>
      </c>
      <c r="U35" s="343"/>
      <c r="V35" s="344">
        <v>40</v>
      </c>
      <c r="W35" s="289"/>
      <c r="X35" s="340"/>
      <c r="Y35" s="43"/>
      <c r="Z35" s="44"/>
      <c r="AA35" s="44"/>
      <c r="AB35" s="49"/>
      <c r="AC35" s="345"/>
      <c r="AD35" s="312"/>
      <c r="AE35" s="292"/>
      <c r="AF35" s="46"/>
      <c r="AG35" s="48"/>
      <c r="AH35" s="48"/>
      <c r="AI35" s="47"/>
      <c r="AJ35" s="5"/>
      <c r="AK35" s="727"/>
      <c r="AL35" s="862"/>
      <c r="AM35" s="458"/>
      <c r="AN35" s="295"/>
      <c r="AO35" s="145">
        <v>70</v>
      </c>
      <c r="AP35" s="85"/>
      <c r="AQ35" s="677">
        <v>250</v>
      </c>
      <c r="AR35" s="56"/>
      <c r="AS35" s="34">
        <v>16</v>
      </c>
      <c r="AT35" s="34"/>
      <c r="AU35" s="73"/>
      <c r="AV35" s="39"/>
      <c r="AW35" s="143"/>
      <c r="AX35" s="33"/>
      <c r="AY35" s="34"/>
      <c r="AZ35" s="34"/>
      <c r="BA35" s="84"/>
      <c r="BB35" s="748"/>
      <c r="BC35" s="590"/>
      <c r="BD35" s="588"/>
      <c r="BE35" s="299"/>
      <c r="BF35" s="300"/>
      <c r="BG35" s="112"/>
      <c r="BH35" s="541"/>
      <c r="BI35" s="301">
        <v>1</v>
      </c>
      <c r="BJ35" s="655" t="s">
        <v>870</v>
      </c>
      <c r="BK35" s="36" t="s">
        <v>1678</v>
      </c>
      <c r="BL35" s="303" t="s">
        <v>372</v>
      </c>
      <c r="BM35" s="86" t="s">
        <v>1676</v>
      </c>
      <c r="BN35" s="303" t="s">
        <v>104</v>
      </c>
      <c r="BO35" s="86"/>
      <c r="BP35" s="445"/>
      <c r="BQ35" s="657"/>
      <c r="BR35" s="585"/>
      <c r="BS35" s="365"/>
      <c r="BT35" s="365"/>
      <c r="BU35" s="365"/>
      <c r="BV35" s="580"/>
      <c r="BW35" s="366"/>
      <c r="BX35"/>
      <c r="BY35"/>
      <c r="BZ35" s="1"/>
      <c r="CA35" s="21"/>
      <c r="CB35" s="605"/>
      <c r="CC35" s="610"/>
      <c r="CD35" s="601"/>
      <c r="CE35" s="329">
        <f t="shared" si="3"/>
        <v>0</v>
      </c>
      <c r="CF35" s="329">
        <f t="shared" si="4"/>
      </c>
      <c r="CG35" s="329">
        <f t="shared" si="5"/>
      </c>
      <c r="CH35" s="329">
        <f t="shared" si="6"/>
      </c>
      <c r="CI35" s="329">
        <f t="shared" si="7"/>
      </c>
      <c r="CJ35" s="329">
        <f t="shared" si="8"/>
      </c>
      <c r="CK35" s="329">
        <f t="shared" si="9"/>
      </c>
      <c r="CL35" s="329">
        <f t="shared" si="10"/>
      </c>
      <c r="CM35" s="485" t="s">
        <v>1510</v>
      </c>
      <c r="CN35" s="724" t="s">
        <v>871</v>
      </c>
      <c r="CO35" s="440" t="s">
        <v>1575</v>
      </c>
      <c r="CP35" s="392"/>
      <c r="CQ35" s="392"/>
      <c r="CR35" s="393"/>
      <c r="CS35" s="834"/>
      <c r="CT35" s="592"/>
      <c r="CU35" s="21" t="e">
        <f t="shared" si="11"/>
        <v>#DIV/0!</v>
      </c>
      <c r="CV35" s="21" t="e">
        <f t="shared" si="12"/>
        <v>#DIV/0!</v>
      </c>
      <c r="CX35" s="622">
        <f t="shared" si="13"/>
        <v>0</v>
      </c>
      <c r="CY35" s="623">
        <f t="shared" si="14"/>
        <v>0</v>
      </c>
      <c r="CZ35" s="624">
        <f t="shared" si="15"/>
        <v>0</v>
      </c>
      <c r="DA35" s="634">
        <f t="shared" si="16"/>
        <v>0</v>
      </c>
      <c r="DB35" s="591">
        <f t="shared" si="17"/>
        <v>1200000</v>
      </c>
      <c r="DC35" s="591">
        <f t="shared" si="18"/>
        <v>0</v>
      </c>
      <c r="DD35" s="591">
        <v>15000</v>
      </c>
      <c r="DI35" s="54">
        <v>1.6875</v>
      </c>
      <c r="DJ35" s="54">
        <v>6.25</v>
      </c>
      <c r="DK35" s="649">
        <f t="shared" si="19"/>
        <v>0</v>
      </c>
    </row>
    <row r="36" spans="1:115" s="54" customFormat="1" ht="12.75">
      <c r="A36" s="24" t="s">
        <v>793</v>
      </c>
      <c r="B36" s="69"/>
      <c r="C36" s="636" t="s">
        <v>865</v>
      </c>
      <c r="D36" s="670"/>
      <c r="E36" s="374" t="s">
        <v>490</v>
      </c>
      <c r="F36" s="15">
        <v>2</v>
      </c>
      <c r="G36" s="18"/>
      <c r="H36" s="17">
        <v>1</v>
      </c>
      <c r="I36" s="323">
        <v>1</v>
      </c>
      <c r="J36" s="324"/>
      <c r="K36" s="188"/>
      <c r="L36" s="867"/>
      <c r="M36" s="895">
        <v>600</v>
      </c>
      <c r="N36" s="106"/>
      <c r="O36" s="455"/>
      <c r="P36" s="531"/>
      <c r="Q36" s="340"/>
      <c r="R36" s="98"/>
      <c r="S36" s="326"/>
      <c r="T36" s="342">
        <v>1200</v>
      </c>
      <c r="U36" s="343"/>
      <c r="V36" s="344">
        <v>40</v>
      </c>
      <c r="W36" s="289"/>
      <c r="X36" s="340"/>
      <c r="Y36" s="43"/>
      <c r="Z36" s="44"/>
      <c r="AA36" s="44"/>
      <c r="AB36" s="49"/>
      <c r="AC36" s="345"/>
      <c r="AD36" s="312"/>
      <c r="AE36" s="292"/>
      <c r="AF36" s="46"/>
      <c r="AG36" s="48"/>
      <c r="AH36" s="48"/>
      <c r="AI36" s="47"/>
      <c r="AJ36" s="5"/>
      <c r="AK36" s="727"/>
      <c r="AL36" s="904">
        <v>1225</v>
      </c>
      <c r="AM36" s="458">
        <v>415</v>
      </c>
      <c r="AN36" s="295"/>
      <c r="AO36" s="145"/>
      <c r="AP36" s="85"/>
      <c r="AQ36" s="677"/>
      <c r="AR36" s="56"/>
      <c r="AS36" s="34"/>
      <c r="AT36" s="34"/>
      <c r="AU36" s="73"/>
      <c r="AV36" s="39"/>
      <c r="AW36" s="143"/>
      <c r="AX36" s="33"/>
      <c r="AY36" s="34"/>
      <c r="AZ36" s="34"/>
      <c r="BA36" s="84"/>
      <c r="BB36" s="748"/>
      <c r="BC36" s="590"/>
      <c r="BD36" s="588"/>
      <c r="BE36" s="299"/>
      <c r="BF36" s="300"/>
      <c r="BG36" s="112"/>
      <c r="BH36" s="541"/>
      <c r="BI36" s="301">
        <v>2</v>
      </c>
      <c r="BJ36" s="655" t="s">
        <v>870</v>
      </c>
      <c r="BK36" s="36" t="s">
        <v>488</v>
      </c>
      <c r="BL36" s="303" t="s">
        <v>373</v>
      </c>
      <c r="BM36" s="86" t="s">
        <v>1785</v>
      </c>
      <c r="BN36" s="303" t="s">
        <v>104</v>
      </c>
      <c r="BO36" s="86"/>
      <c r="BP36" s="445"/>
      <c r="BQ36" s="657"/>
      <c r="BR36" s="585"/>
      <c r="BS36" s="365"/>
      <c r="BT36" s="365"/>
      <c r="BU36" s="365"/>
      <c r="BV36" s="580"/>
      <c r="BW36" s="366"/>
      <c r="BX36"/>
      <c r="BY36"/>
      <c r="BZ36" s="1"/>
      <c r="CA36" s="21"/>
      <c r="CB36" s="605"/>
      <c r="CC36" s="600"/>
      <c r="CD36" s="601"/>
      <c r="CE36" s="329">
        <f t="shared" si="3"/>
        <v>0</v>
      </c>
      <c r="CF36" s="329">
        <f aca="true" t="shared" si="23" ref="CF36:CF67">IF($F36&gt;0,$CE36*$D$95,"")</f>
        <v>0</v>
      </c>
      <c r="CG36" s="329">
        <f aca="true" t="shared" si="24" ref="CG36:CG67">IF($F36&gt;1,$CF36*$D$96,"")</f>
        <v>0</v>
      </c>
      <c r="CH36" s="329">
        <f aca="true" t="shared" si="25" ref="CH36:CH67">IF($F36&gt;2,$CG36*$D$97,"")</f>
      </c>
      <c r="CI36" s="329">
        <f aca="true" t="shared" si="26" ref="CI36:CI67">IF($F36&gt;3,$CH36*$D$98,"")</f>
      </c>
      <c r="CJ36" s="329">
        <f aca="true" t="shared" si="27" ref="CJ36:CJ67">IF($F36&gt;4,$CI36*$D$99,"")</f>
      </c>
      <c r="CK36" s="329">
        <f aca="true" t="shared" si="28" ref="CK36:CK67">IF($F36&gt;5,$CJ36*$D$100,"")</f>
      </c>
      <c r="CL36" s="329">
        <f aca="true" t="shared" si="29" ref="CL36:CL67">IF($F36&gt;6,$CK36*$D$101,"")</f>
      </c>
      <c r="CM36" s="485" t="s">
        <v>411</v>
      </c>
      <c r="CN36" s="724" t="s">
        <v>871</v>
      </c>
      <c r="CO36" s="440"/>
      <c r="CP36" s="392"/>
      <c r="CQ36" s="392"/>
      <c r="CR36" s="393"/>
      <c r="CS36" s="834"/>
      <c r="CT36" s="592"/>
      <c r="CU36" s="21" t="e">
        <f aca="true" t="shared" si="30" ref="CU36:CU67">CT36/CP36</f>
        <v>#DIV/0!</v>
      </c>
      <c r="CV36" s="21" t="e">
        <f aca="true" t="shared" si="31" ref="CV36:CV67">CT36/CQ36</f>
        <v>#DIV/0!</v>
      </c>
      <c r="CX36" s="622">
        <f aca="true" t="shared" si="32" ref="CX36:CX67">SUM(Y36:AB36)</f>
        <v>0</v>
      </c>
      <c r="CY36" s="623">
        <f aca="true" t="shared" si="33" ref="CY36:CY67">SUM(AF36:AI36)</f>
        <v>0</v>
      </c>
      <c r="CZ36" s="624">
        <f aca="true" t="shared" si="34" ref="CZ36:CZ67">AK36</f>
        <v>0</v>
      </c>
      <c r="DA36" s="634">
        <f aca="true" t="shared" si="35" ref="DA36:DA67">AW36</f>
        <v>0</v>
      </c>
      <c r="DB36" s="591">
        <f aca="true" t="shared" si="36" ref="DB36:DB67">T36*1000</f>
        <v>1200000</v>
      </c>
      <c r="DC36" s="591">
        <f aca="true" t="shared" si="37" ref="DC36:DC67">DA36*1.25</f>
        <v>0</v>
      </c>
      <c r="DD36" s="591">
        <v>15000</v>
      </c>
      <c r="DI36" s="54">
        <v>1.6875</v>
      </c>
      <c r="DJ36" s="54">
        <v>6.25</v>
      </c>
      <c r="DK36" s="649">
        <f aca="true" t="shared" si="38" ref="DK36:DK67">T36*W36/1000</f>
        <v>0</v>
      </c>
    </row>
    <row r="37" spans="1:115" s="54" customFormat="1" ht="12.75">
      <c r="A37" s="24" t="s">
        <v>794</v>
      </c>
      <c r="B37" s="69"/>
      <c r="C37" s="636" t="s">
        <v>865</v>
      </c>
      <c r="D37" s="670" t="s">
        <v>214</v>
      </c>
      <c r="E37" s="374" t="s">
        <v>490</v>
      </c>
      <c r="F37" s="15">
        <v>3</v>
      </c>
      <c r="G37" s="18"/>
      <c r="H37" s="17"/>
      <c r="I37" s="323"/>
      <c r="J37" s="324"/>
      <c r="K37" s="188"/>
      <c r="L37" s="867"/>
      <c r="M37" s="895">
        <v>825</v>
      </c>
      <c r="N37" s="106"/>
      <c r="O37" s="455"/>
      <c r="P37" s="531"/>
      <c r="Q37" s="340"/>
      <c r="R37" s="98"/>
      <c r="S37" s="326"/>
      <c r="T37" s="342">
        <v>1200</v>
      </c>
      <c r="U37" s="343"/>
      <c r="V37" s="344">
        <v>40</v>
      </c>
      <c r="W37" s="289"/>
      <c r="X37" s="340"/>
      <c r="Y37" s="43"/>
      <c r="Z37" s="44"/>
      <c r="AA37" s="44"/>
      <c r="AB37" s="49"/>
      <c r="AC37" s="345"/>
      <c r="AD37" s="312"/>
      <c r="AE37" s="292"/>
      <c r="AF37" s="46"/>
      <c r="AG37" s="48"/>
      <c r="AH37" s="48"/>
      <c r="AI37" s="47"/>
      <c r="AJ37" s="5"/>
      <c r="AK37" s="727"/>
      <c r="AL37" s="862">
        <v>2100</v>
      </c>
      <c r="AM37" s="733">
        <v>415</v>
      </c>
      <c r="AN37" s="295"/>
      <c r="AO37" s="145"/>
      <c r="AP37" s="85"/>
      <c r="AQ37" s="677"/>
      <c r="AR37" s="56"/>
      <c r="AS37" s="34"/>
      <c r="AT37" s="34"/>
      <c r="AU37" s="73"/>
      <c r="AV37" s="39"/>
      <c r="AW37" s="143"/>
      <c r="AX37" s="33"/>
      <c r="AY37" s="34"/>
      <c r="AZ37" s="34"/>
      <c r="BA37" s="84"/>
      <c r="BB37" s="748"/>
      <c r="BC37" s="590"/>
      <c r="BD37" s="588"/>
      <c r="BE37" s="299"/>
      <c r="BF37" s="300"/>
      <c r="BG37" s="112"/>
      <c r="BH37" s="541"/>
      <c r="BI37" s="301">
        <v>3</v>
      </c>
      <c r="BJ37" s="655" t="s">
        <v>870</v>
      </c>
      <c r="BK37" s="36" t="s">
        <v>488</v>
      </c>
      <c r="BL37" s="303" t="s">
        <v>374</v>
      </c>
      <c r="BM37" s="86" t="s">
        <v>1682</v>
      </c>
      <c r="BN37" s="303" t="s">
        <v>104</v>
      </c>
      <c r="BO37" s="86"/>
      <c r="BP37" s="445"/>
      <c r="BQ37" s="657"/>
      <c r="BR37" s="585"/>
      <c r="BS37" s="365"/>
      <c r="BT37" s="365"/>
      <c r="BU37" s="365"/>
      <c r="BV37" s="580"/>
      <c r="BW37" s="366"/>
      <c r="BX37"/>
      <c r="BY37"/>
      <c r="BZ37" s="1"/>
      <c r="CA37" s="21"/>
      <c r="CB37" s="605"/>
      <c r="CC37" s="600"/>
      <c r="CD37" s="601"/>
      <c r="CE37" s="329">
        <f t="shared" si="3"/>
        <v>0</v>
      </c>
      <c r="CF37" s="329">
        <f t="shared" si="23"/>
        <v>0</v>
      </c>
      <c r="CG37" s="329">
        <f t="shared" si="24"/>
        <v>0</v>
      </c>
      <c r="CH37" s="329">
        <f t="shared" si="25"/>
        <v>0</v>
      </c>
      <c r="CI37" s="329">
        <f t="shared" si="26"/>
      </c>
      <c r="CJ37" s="329">
        <f t="shared" si="27"/>
      </c>
      <c r="CK37" s="329">
        <f t="shared" si="28"/>
      </c>
      <c r="CL37" s="329">
        <f t="shared" si="29"/>
      </c>
      <c r="CM37" s="485" t="s">
        <v>1123</v>
      </c>
      <c r="CN37" s="724" t="s">
        <v>871</v>
      </c>
      <c r="CO37" s="440" t="s">
        <v>1575</v>
      </c>
      <c r="CP37" s="392"/>
      <c r="CQ37" s="392"/>
      <c r="CR37" s="393"/>
      <c r="CS37" s="834"/>
      <c r="CT37" s="592"/>
      <c r="CU37" s="21" t="e">
        <f t="shared" si="30"/>
        <v>#DIV/0!</v>
      </c>
      <c r="CV37" s="21" t="e">
        <f t="shared" si="31"/>
        <v>#DIV/0!</v>
      </c>
      <c r="CX37" s="622">
        <f t="shared" si="32"/>
        <v>0</v>
      </c>
      <c r="CY37" s="623">
        <f t="shared" si="33"/>
        <v>0</v>
      </c>
      <c r="CZ37" s="624">
        <f t="shared" si="34"/>
        <v>0</v>
      </c>
      <c r="DA37" s="634">
        <f t="shared" si="35"/>
        <v>0</v>
      </c>
      <c r="DB37" s="591">
        <f t="shared" si="36"/>
        <v>1200000</v>
      </c>
      <c r="DC37" s="591">
        <f t="shared" si="37"/>
        <v>0</v>
      </c>
      <c r="DD37" s="591">
        <v>15000</v>
      </c>
      <c r="DI37" s="54">
        <v>1.6875</v>
      </c>
      <c r="DJ37" s="54">
        <v>6.25</v>
      </c>
      <c r="DK37" s="649">
        <f t="shared" si="38"/>
        <v>0</v>
      </c>
    </row>
    <row r="38" spans="1:115" s="54" customFormat="1" ht="12.75">
      <c r="A38" s="24" t="s">
        <v>795</v>
      </c>
      <c r="B38" s="69"/>
      <c r="C38" s="636" t="s">
        <v>865</v>
      </c>
      <c r="D38" s="670"/>
      <c r="E38" s="374" t="s">
        <v>490</v>
      </c>
      <c r="F38" s="15">
        <v>2</v>
      </c>
      <c r="G38" s="18"/>
      <c r="H38" s="17">
        <v>1</v>
      </c>
      <c r="I38" s="323"/>
      <c r="J38" s="324">
        <v>1</v>
      </c>
      <c r="K38" s="188"/>
      <c r="L38" s="867"/>
      <c r="M38" s="896">
        <v>555</v>
      </c>
      <c r="N38" s="106"/>
      <c r="O38" s="455"/>
      <c r="P38" s="531"/>
      <c r="Q38" s="340"/>
      <c r="R38" s="98"/>
      <c r="S38" s="326"/>
      <c r="T38" s="342">
        <v>1200</v>
      </c>
      <c r="U38" s="343"/>
      <c r="V38" s="344">
        <v>40</v>
      </c>
      <c r="W38" s="289"/>
      <c r="X38" s="340"/>
      <c r="Y38" s="43"/>
      <c r="Z38" s="44"/>
      <c r="AA38" s="44"/>
      <c r="AB38" s="49"/>
      <c r="AC38" s="345"/>
      <c r="AD38" s="312"/>
      <c r="AE38" s="292"/>
      <c r="AF38" s="46"/>
      <c r="AG38" s="48"/>
      <c r="AH38" s="48"/>
      <c r="AI38" s="47"/>
      <c r="AJ38" s="5"/>
      <c r="AK38" s="727"/>
      <c r="AL38" s="862">
        <v>1225</v>
      </c>
      <c r="AM38" s="458">
        <v>415</v>
      </c>
      <c r="AN38" s="295"/>
      <c r="AO38" s="145"/>
      <c r="AP38" s="85"/>
      <c r="AQ38" s="677"/>
      <c r="AR38" s="56"/>
      <c r="AS38" s="34"/>
      <c r="AT38" s="34"/>
      <c r="AU38" s="73"/>
      <c r="AV38" s="39"/>
      <c r="AW38" s="143"/>
      <c r="AX38" s="33"/>
      <c r="AY38" s="34"/>
      <c r="AZ38" s="34"/>
      <c r="BA38" s="84"/>
      <c r="BB38" s="748"/>
      <c r="BC38" s="590"/>
      <c r="BD38" s="588"/>
      <c r="BE38" s="299"/>
      <c r="BF38" s="300"/>
      <c r="BG38" s="112"/>
      <c r="BH38" s="541"/>
      <c r="BI38" s="301">
        <v>1</v>
      </c>
      <c r="BJ38" s="655" t="s">
        <v>870</v>
      </c>
      <c r="BK38" s="36" t="s">
        <v>1559</v>
      </c>
      <c r="BL38" s="303" t="s">
        <v>375</v>
      </c>
      <c r="BM38" s="86" t="s">
        <v>1683</v>
      </c>
      <c r="BN38" s="303" t="s">
        <v>104</v>
      </c>
      <c r="BO38" s="86"/>
      <c r="BP38" s="445"/>
      <c r="BQ38" s="657"/>
      <c r="BR38" s="585"/>
      <c r="BS38" s="365"/>
      <c r="BT38" s="365"/>
      <c r="BU38" s="365"/>
      <c r="BV38" s="580"/>
      <c r="BW38" s="366"/>
      <c r="BX38"/>
      <c r="BY38"/>
      <c r="BZ38" s="1"/>
      <c r="CA38" s="21"/>
      <c r="CB38" s="605"/>
      <c r="CC38" s="610"/>
      <c r="CD38" s="601"/>
      <c r="CE38" s="329">
        <f t="shared" si="3"/>
        <v>0</v>
      </c>
      <c r="CF38" s="329">
        <f t="shared" si="23"/>
        <v>0</v>
      </c>
      <c r="CG38" s="329">
        <f t="shared" si="24"/>
        <v>0</v>
      </c>
      <c r="CH38" s="329">
        <f t="shared" si="25"/>
      </c>
      <c r="CI38" s="329">
        <f t="shared" si="26"/>
      </c>
      <c r="CJ38" s="329">
        <f t="shared" si="27"/>
      </c>
      <c r="CK38" s="329">
        <f t="shared" si="28"/>
      </c>
      <c r="CL38" s="329">
        <f t="shared" si="29"/>
      </c>
      <c r="CM38" s="485" t="s">
        <v>1510</v>
      </c>
      <c r="CN38" s="724" t="s">
        <v>871</v>
      </c>
      <c r="CO38" s="440"/>
      <c r="CP38" s="392"/>
      <c r="CQ38" s="392"/>
      <c r="CR38" s="393"/>
      <c r="CS38" s="834"/>
      <c r="CT38" s="592"/>
      <c r="CU38" s="21" t="e">
        <f t="shared" si="30"/>
        <v>#DIV/0!</v>
      </c>
      <c r="CV38" s="21" t="e">
        <f t="shared" si="31"/>
        <v>#DIV/0!</v>
      </c>
      <c r="CX38" s="622">
        <f t="shared" si="32"/>
        <v>0</v>
      </c>
      <c r="CY38" s="623">
        <f t="shared" si="33"/>
        <v>0</v>
      </c>
      <c r="CZ38" s="624">
        <f t="shared" si="34"/>
        <v>0</v>
      </c>
      <c r="DA38" s="634">
        <f t="shared" si="35"/>
        <v>0</v>
      </c>
      <c r="DB38" s="591">
        <f t="shared" si="36"/>
        <v>1200000</v>
      </c>
      <c r="DC38" s="591">
        <f t="shared" si="37"/>
        <v>0</v>
      </c>
      <c r="DD38" s="591">
        <v>15000</v>
      </c>
      <c r="DI38" s="54">
        <v>1.6875</v>
      </c>
      <c r="DJ38" s="54">
        <v>6.25</v>
      </c>
      <c r="DK38" s="649">
        <f t="shared" si="38"/>
        <v>0</v>
      </c>
    </row>
    <row r="39" spans="1:115" s="54" customFormat="1" ht="12.75">
      <c r="A39" s="24" t="s">
        <v>709</v>
      </c>
      <c r="B39" s="69"/>
      <c r="C39" s="636" t="s">
        <v>865</v>
      </c>
      <c r="D39" s="670"/>
      <c r="E39" s="374" t="s">
        <v>490</v>
      </c>
      <c r="F39" s="15">
        <v>3</v>
      </c>
      <c r="G39" s="18"/>
      <c r="H39" s="17"/>
      <c r="I39" s="323"/>
      <c r="J39" s="324"/>
      <c r="K39" s="188"/>
      <c r="L39" s="867"/>
      <c r="M39" s="897">
        <v>825</v>
      </c>
      <c r="N39" s="106"/>
      <c r="O39" s="455"/>
      <c r="P39" s="531"/>
      <c r="Q39" s="340"/>
      <c r="R39" s="98"/>
      <c r="S39" s="326"/>
      <c r="T39" s="342">
        <v>1200</v>
      </c>
      <c r="U39" s="343"/>
      <c r="V39" s="344">
        <v>40</v>
      </c>
      <c r="W39" s="289"/>
      <c r="X39" s="340"/>
      <c r="Y39" s="43"/>
      <c r="Z39" s="44"/>
      <c r="AA39" s="44"/>
      <c r="AB39" s="49"/>
      <c r="AC39" s="345"/>
      <c r="AD39" s="312"/>
      <c r="AE39" s="292"/>
      <c r="AF39" s="46"/>
      <c r="AG39" s="48"/>
      <c r="AH39" s="48"/>
      <c r="AI39" s="47"/>
      <c r="AJ39" s="5"/>
      <c r="AK39" s="727"/>
      <c r="AL39" s="862">
        <v>1225</v>
      </c>
      <c r="AM39" s="458">
        <v>415</v>
      </c>
      <c r="AN39" s="295"/>
      <c r="AO39" s="145"/>
      <c r="AP39" s="85"/>
      <c r="AQ39" s="677"/>
      <c r="AR39" s="56"/>
      <c r="AS39" s="34"/>
      <c r="AT39" s="34"/>
      <c r="AU39" s="73"/>
      <c r="AV39" s="39"/>
      <c r="AW39" s="143"/>
      <c r="AX39" s="33"/>
      <c r="AY39" s="34"/>
      <c r="AZ39" s="34"/>
      <c r="BA39" s="84"/>
      <c r="BB39" s="748"/>
      <c r="BC39" s="590"/>
      <c r="BD39" s="588"/>
      <c r="BE39" s="299"/>
      <c r="BF39" s="300"/>
      <c r="BG39" s="112"/>
      <c r="BH39" s="541"/>
      <c r="BI39" s="301">
        <v>4</v>
      </c>
      <c r="BJ39" s="655" t="s">
        <v>870</v>
      </c>
      <c r="BK39" s="36" t="s">
        <v>1684</v>
      </c>
      <c r="BL39" s="303" t="s">
        <v>1685</v>
      </c>
      <c r="BM39" s="86" t="s">
        <v>1725</v>
      </c>
      <c r="BN39" s="303" t="s">
        <v>104</v>
      </c>
      <c r="BO39" s="86"/>
      <c r="BP39" s="445"/>
      <c r="BQ39" s="657"/>
      <c r="BR39" s="585"/>
      <c r="BS39" s="365"/>
      <c r="BT39" s="365"/>
      <c r="BU39" s="365"/>
      <c r="BV39" s="580"/>
      <c r="BW39" s="366"/>
      <c r="BX39"/>
      <c r="BY39"/>
      <c r="BZ39" s="1"/>
      <c r="CA39" s="21"/>
      <c r="CB39" s="605"/>
      <c r="CC39" s="610"/>
      <c r="CD39" s="601"/>
      <c r="CE39" s="329">
        <f t="shared" si="3"/>
        <v>0</v>
      </c>
      <c r="CF39" s="329">
        <f t="shared" si="23"/>
        <v>0</v>
      </c>
      <c r="CG39" s="329">
        <f t="shared" si="24"/>
        <v>0</v>
      </c>
      <c r="CH39" s="329">
        <f t="shared" si="25"/>
        <v>0</v>
      </c>
      <c r="CI39" s="329">
        <f t="shared" si="26"/>
      </c>
      <c r="CJ39" s="329">
        <f t="shared" si="27"/>
      </c>
      <c r="CK39" s="329">
        <f t="shared" si="28"/>
      </c>
      <c r="CL39" s="329">
        <f t="shared" si="29"/>
      </c>
      <c r="CM39" s="485" t="s">
        <v>1510</v>
      </c>
      <c r="CN39" s="724" t="s">
        <v>871</v>
      </c>
      <c r="CO39" s="440"/>
      <c r="CP39" s="392"/>
      <c r="CQ39" s="392"/>
      <c r="CR39" s="393"/>
      <c r="CS39" s="834"/>
      <c r="CT39" s="592"/>
      <c r="CU39" s="21" t="e">
        <f t="shared" si="30"/>
        <v>#DIV/0!</v>
      </c>
      <c r="CV39" s="21" t="e">
        <f t="shared" si="31"/>
        <v>#DIV/0!</v>
      </c>
      <c r="CX39" s="622">
        <f t="shared" si="32"/>
        <v>0</v>
      </c>
      <c r="CY39" s="623">
        <f t="shared" si="33"/>
        <v>0</v>
      </c>
      <c r="CZ39" s="624">
        <f t="shared" si="34"/>
        <v>0</v>
      </c>
      <c r="DA39" s="634">
        <f t="shared" si="35"/>
        <v>0</v>
      </c>
      <c r="DB39" s="591">
        <f t="shared" si="36"/>
        <v>1200000</v>
      </c>
      <c r="DC39" s="591">
        <f t="shared" si="37"/>
        <v>0</v>
      </c>
      <c r="DD39" s="591">
        <v>15000</v>
      </c>
      <c r="DI39" s="54">
        <v>1.6875</v>
      </c>
      <c r="DJ39" s="54">
        <v>6.25</v>
      </c>
      <c r="DK39" s="649">
        <f t="shared" si="38"/>
        <v>0</v>
      </c>
    </row>
    <row r="40" spans="1:115" s="54" customFormat="1" ht="12.75">
      <c r="A40" s="24" t="s">
        <v>746</v>
      </c>
      <c r="B40" s="69"/>
      <c r="C40" s="636" t="s">
        <v>865</v>
      </c>
      <c r="D40" s="670"/>
      <c r="E40" s="374" t="s">
        <v>1690</v>
      </c>
      <c r="F40" s="15"/>
      <c r="G40" s="18">
        <v>1</v>
      </c>
      <c r="H40" s="17">
        <v>5</v>
      </c>
      <c r="I40" s="740">
        <v>5</v>
      </c>
      <c r="J40" s="324"/>
      <c r="K40" s="188"/>
      <c r="L40" s="867">
        <v>33</v>
      </c>
      <c r="M40" s="895"/>
      <c r="N40" s="106"/>
      <c r="O40" s="455"/>
      <c r="P40" s="531"/>
      <c r="Q40" s="340"/>
      <c r="R40" s="98"/>
      <c r="S40" s="326"/>
      <c r="T40" s="342">
        <v>800</v>
      </c>
      <c r="U40" s="343"/>
      <c r="V40" s="344">
        <v>40</v>
      </c>
      <c r="W40" s="289"/>
      <c r="X40" s="340"/>
      <c r="Y40" s="43"/>
      <c r="Z40" s="44"/>
      <c r="AA40" s="44"/>
      <c r="AB40" s="49"/>
      <c r="AC40" s="345"/>
      <c r="AD40" s="312"/>
      <c r="AE40" s="292"/>
      <c r="AF40" s="46"/>
      <c r="AG40" s="48"/>
      <c r="AH40" s="48"/>
      <c r="AI40" s="47"/>
      <c r="AJ40" s="5"/>
      <c r="AK40" s="727"/>
      <c r="AL40" s="862"/>
      <c r="AM40" s="458"/>
      <c r="AN40" s="295"/>
      <c r="AO40" s="145"/>
      <c r="AP40" s="85"/>
      <c r="AQ40" s="677"/>
      <c r="AR40" s="56"/>
      <c r="AS40" s="34"/>
      <c r="AT40" s="34"/>
      <c r="AU40" s="73"/>
      <c r="AV40" s="39"/>
      <c r="AW40" s="143"/>
      <c r="AX40" s="33"/>
      <c r="AY40" s="34"/>
      <c r="AZ40" s="34"/>
      <c r="BA40" s="84"/>
      <c r="BB40" s="748"/>
      <c r="BC40" s="590"/>
      <c r="BD40" s="588"/>
      <c r="BE40" s="299"/>
      <c r="BF40" s="300"/>
      <c r="BG40" s="112"/>
      <c r="BH40" s="541"/>
      <c r="BI40" s="301">
        <v>1</v>
      </c>
      <c r="BJ40" s="655" t="s">
        <v>870</v>
      </c>
      <c r="BK40" s="36" t="s">
        <v>1061</v>
      </c>
      <c r="BL40" s="303" t="s">
        <v>1631</v>
      </c>
      <c r="BM40" s="86" t="s">
        <v>1632</v>
      </c>
      <c r="BN40" s="303" t="s">
        <v>104</v>
      </c>
      <c r="BO40" s="86"/>
      <c r="BP40" s="445"/>
      <c r="BQ40" s="657"/>
      <c r="BR40" s="585"/>
      <c r="BS40" s="365"/>
      <c r="BT40" s="365"/>
      <c r="BU40" s="365"/>
      <c r="BV40" s="580"/>
      <c r="BW40" s="366"/>
      <c r="BX40"/>
      <c r="BY40"/>
      <c r="BZ40" s="1"/>
      <c r="CA40" s="21"/>
      <c r="CB40" s="605"/>
      <c r="CC40" s="600"/>
      <c r="CD40" s="601"/>
      <c r="CE40" s="329">
        <f t="shared" si="3"/>
        <v>0</v>
      </c>
      <c r="CF40" s="329">
        <f t="shared" si="23"/>
      </c>
      <c r="CG40" s="329">
        <f t="shared" si="24"/>
      </c>
      <c r="CH40" s="329">
        <f t="shared" si="25"/>
      </c>
      <c r="CI40" s="329">
        <f t="shared" si="26"/>
      </c>
      <c r="CJ40" s="329">
        <f t="shared" si="27"/>
      </c>
      <c r="CK40" s="329">
        <f t="shared" si="28"/>
      </c>
      <c r="CL40" s="329">
        <f t="shared" si="29"/>
      </c>
      <c r="CM40" s="485" t="s">
        <v>411</v>
      </c>
      <c r="CN40" s="724" t="s">
        <v>871</v>
      </c>
      <c r="CO40" s="440"/>
      <c r="CP40" s="392"/>
      <c r="CQ40" s="392"/>
      <c r="CR40" s="393"/>
      <c r="CS40" s="834"/>
      <c r="CT40" s="592"/>
      <c r="CU40" s="21" t="e">
        <f t="shared" si="30"/>
        <v>#DIV/0!</v>
      </c>
      <c r="CV40" s="21" t="e">
        <f t="shared" si="31"/>
        <v>#DIV/0!</v>
      </c>
      <c r="CX40" s="622">
        <f t="shared" si="32"/>
        <v>0</v>
      </c>
      <c r="CY40" s="623">
        <f t="shared" si="33"/>
        <v>0</v>
      </c>
      <c r="CZ40" s="624">
        <f t="shared" si="34"/>
        <v>0</v>
      </c>
      <c r="DA40" s="634">
        <f t="shared" si="35"/>
        <v>0</v>
      </c>
      <c r="DB40" s="591">
        <f t="shared" si="36"/>
        <v>800000</v>
      </c>
      <c r="DC40" s="591">
        <f t="shared" si="37"/>
        <v>0</v>
      </c>
      <c r="DD40" s="591">
        <v>15000</v>
      </c>
      <c r="DI40" s="54">
        <v>1.6875</v>
      </c>
      <c r="DJ40" s="54">
        <v>6.25</v>
      </c>
      <c r="DK40" s="649">
        <f t="shared" si="38"/>
        <v>0</v>
      </c>
    </row>
    <row r="41" spans="1:115" s="54" customFormat="1" ht="12.75">
      <c r="A41" s="24" t="s">
        <v>710</v>
      </c>
      <c r="B41" s="69"/>
      <c r="C41" s="636" t="s">
        <v>865</v>
      </c>
      <c r="D41" s="670"/>
      <c r="E41" s="374" t="s">
        <v>1690</v>
      </c>
      <c r="F41" s="15"/>
      <c r="G41" s="18">
        <v>1</v>
      </c>
      <c r="H41" s="732">
        <v>5</v>
      </c>
      <c r="I41" s="323">
        <v>4</v>
      </c>
      <c r="J41" s="737"/>
      <c r="K41" s="188"/>
      <c r="L41" s="867"/>
      <c r="M41" s="895"/>
      <c r="N41" s="106"/>
      <c r="O41" s="455"/>
      <c r="P41" s="531"/>
      <c r="Q41" s="340"/>
      <c r="R41" s="98"/>
      <c r="S41" s="326"/>
      <c r="T41" s="342">
        <v>800</v>
      </c>
      <c r="U41" s="343"/>
      <c r="V41" s="344">
        <v>40</v>
      </c>
      <c r="W41" s="289"/>
      <c r="X41" s="340"/>
      <c r="Y41" s="43"/>
      <c r="Z41" s="44"/>
      <c r="AA41" s="44"/>
      <c r="AB41" s="49"/>
      <c r="AC41" s="345"/>
      <c r="AD41" s="312"/>
      <c r="AE41" s="292"/>
      <c r="AF41" s="46"/>
      <c r="AG41" s="48"/>
      <c r="AH41" s="48"/>
      <c r="AI41" s="47"/>
      <c r="AJ41" s="5"/>
      <c r="AK41" s="727"/>
      <c r="AL41" s="862"/>
      <c r="AM41" s="458"/>
      <c r="AN41" s="295"/>
      <c r="AO41" s="145"/>
      <c r="AP41" s="85"/>
      <c r="AQ41" s="677"/>
      <c r="AR41" s="56"/>
      <c r="AS41" s="34"/>
      <c r="AT41" s="34"/>
      <c r="AU41" s="73"/>
      <c r="AV41" s="39"/>
      <c r="AW41" s="143"/>
      <c r="AX41" s="33"/>
      <c r="AY41" s="34"/>
      <c r="AZ41" s="34"/>
      <c r="BA41" s="84"/>
      <c r="BB41" s="748"/>
      <c r="BC41" s="590"/>
      <c r="BD41" s="588"/>
      <c r="BE41" s="299"/>
      <c r="BF41" s="300"/>
      <c r="BG41" s="112"/>
      <c r="BH41" s="541"/>
      <c r="BI41" s="301">
        <v>4</v>
      </c>
      <c r="BJ41" s="655" t="s">
        <v>870</v>
      </c>
      <c r="BK41" s="36" t="s">
        <v>600</v>
      </c>
      <c r="BL41" s="303" t="s">
        <v>1633</v>
      </c>
      <c r="BM41" s="86" t="s">
        <v>1634</v>
      </c>
      <c r="BN41" s="303" t="s">
        <v>104</v>
      </c>
      <c r="BO41" s="86"/>
      <c r="BP41" s="445"/>
      <c r="BQ41" s="657"/>
      <c r="BR41" s="585"/>
      <c r="BS41" s="365"/>
      <c r="BT41" s="365"/>
      <c r="BU41" s="365"/>
      <c r="BV41" s="580"/>
      <c r="BW41" s="366"/>
      <c r="BX41"/>
      <c r="BY41"/>
      <c r="BZ41" s="1"/>
      <c r="CA41" s="21"/>
      <c r="CB41" s="605"/>
      <c r="CC41" s="600"/>
      <c r="CD41" s="601"/>
      <c r="CE41" s="329">
        <f t="shared" si="3"/>
        <v>0</v>
      </c>
      <c r="CF41" s="329">
        <f t="shared" si="23"/>
      </c>
      <c r="CG41" s="329">
        <f t="shared" si="24"/>
      </c>
      <c r="CH41" s="329">
        <f t="shared" si="25"/>
      </c>
      <c r="CI41" s="329">
        <f t="shared" si="26"/>
      </c>
      <c r="CJ41" s="329">
        <f t="shared" si="27"/>
      </c>
      <c r="CK41" s="329">
        <f t="shared" si="28"/>
      </c>
      <c r="CL41" s="329">
        <f t="shared" si="29"/>
      </c>
      <c r="CM41" s="485" t="s">
        <v>1123</v>
      </c>
      <c r="CN41" s="724" t="s">
        <v>871</v>
      </c>
      <c r="CO41" s="440"/>
      <c r="CP41" s="392"/>
      <c r="CQ41" s="392"/>
      <c r="CR41" s="393"/>
      <c r="CS41" s="834"/>
      <c r="CT41" s="592"/>
      <c r="CU41" s="21" t="e">
        <f t="shared" si="30"/>
        <v>#DIV/0!</v>
      </c>
      <c r="CV41" s="21" t="e">
        <f t="shared" si="31"/>
        <v>#DIV/0!</v>
      </c>
      <c r="CX41" s="622">
        <f t="shared" si="32"/>
        <v>0</v>
      </c>
      <c r="CY41" s="623">
        <f t="shared" si="33"/>
        <v>0</v>
      </c>
      <c r="CZ41" s="624">
        <f t="shared" si="34"/>
        <v>0</v>
      </c>
      <c r="DA41" s="634">
        <f t="shared" si="35"/>
        <v>0</v>
      </c>
      <c r="DB41" s="591">
        <f t="shared" si="36"/>
        <v>800000</v>
      </c>
      <c r="DC41" s="591">
        <f t="shared" si="37"/>
        <v>0</v>
      </c>
      <c r="DD41" s="591">
        <v>15000</v>
      </c>
      <c r="DI41" s="54">
        <v>1.6875</v>
      </c>
      <c r="DJ41" s="54">
        <v>6.25</v>
      </c>
      <c r="DK41" s="649">
        <f t="shared" si="38"/>
        <v>0</v>
      </c>
    </row>
    <row r="42" spans="1:115" s="54" customFormat="1" ht="12.75">
      <c r="A42" s="24" t="s">
        <v>1526</v>
      </c>
      <c r="B42" s="69"/>
      <c r="C42" s="636" t="s">
        <v>865</v>
      </c>
      <c r="D42" s="670"/>
      <c r="E42" s="374" t="s">
        <v>1690</v>
      </c>
      <c r="F42" s="15"/>
      <c r="G42" s="18">
        <v>1</v>
      </c>
      <c r="H42" s="17">
        <v>5</v>
      </c>
      <c r="I42" s="323"/>
      <c r="J42" s="738">
        <v>5</v>
      </c>
      <c r="K42" s="188"/>
      <c r="L42" s="867"/>
      <c r="M42" s="895">
        <v>365</v>
      </c>
      <c r="N42" s="106"/>
      <c r="O42" s="455"/>
      <c r="P42" s="531"/>
      <c r="Q42" s="340"/>
      <c r="R42" s="98"/>
      <c r="S42" s="326"/>
      <c r="T42" s="342">
        <v>800</v>
      </c>
      <c r="U42" s="343"/>
      <c r="V42" s="344">
        <v>40</v>
      </c>
      <c r="W42" s="289"/>
      <c r="X42" s="340"/>
      <c r="Y42" s="43"/>
      <c r="Z42" s="44"/>
      <c r="AA42" s="44"/>
      <c r="AB42" s="49"/>
      <c r="AC42" s="345"/>
      <c r="AD42" s="312"/>
      <c r="AE42" s="292"/>
      <c r="AF42" s="46"/>
      <c r="AG42" s="48"/>
      <c r="AH42" s="48"/>
      <c r="AI42" s="47"/>
      <c r="AJ42" s="5"/>
      <c r="AK42" s="727"/>
      <c r="AL42" s="862">
        <v>450</v>
      </c>
      <c r="AM42" s="458"/>
      <c r="AN42" s="295"/>
      <c r="AO42" s="145"/>
      <c r="AP42" s="85"/>
      <c r="AQ42" s="677"/>
      <c r="AR42" s="56"/>
      <c r="AS42" s="34"/>
      <c r="AT42" s="34"/>
      <c r="AU42" s="73"/>
      <c r="AV42" s="39"/>
      <c r="AW42" s="143"/>
      <c r="AX42" s="33"/>
      <c r="AY42" s="34"/>
      <c r="AZ42" s="34"/>
      <c r="BA42" s="84"/>
      <c r="BB42" s="748"/>
      <c r="BC42" s="590"/>
      <c r="BD42" s="588"/>
      <c r="BE42" s="299"/>
      <c r="BF42" s="300"/>
      <c r="BG42" s="112"/>
      <c r="BH42" s="541"/>
      <c r="BI42" s="301">
        <v>3</v>
      </c>
      <c r="BJ42" s="655" t="s">
        <v>870</v>
      </c>
      <c r="BK42" s="36" t="s">
        <v>1570</v>
      </c>
      <c r="BL42" s="303" t="s">
        <v>1772</v>
      </c>
      <c r="BM42" s="86" t="s">
        <v>1635</v>
      </c>
      <c r="BN42" s="303" t="s">
        <v>104</v>
      </c>
      <c r="BO42" s="86"/>
      <c r="BP42" s="445"/>
      <c r="BQ42" s="657"/>
      <c r="BR42" s="585"/>
      <c r="BS42" s="365"/>
      <c r="BT42" s="365"/>
      <c r="BU42" s="365"/>
      <c r="BV42" s="580"/>
      <c r="BW42" s="366"/>
      <c r="BX42"/>
      <c r="BY42"/>
      <c r="BZ42" s="1"/>
      <c r="CA42" s="21"/>
      <c r="CB42" s="605"/>
      <c r="CC42" s="600"/>
      <c r="CD42" s="601"/>
      <c r="CE42" s="329">
        <f t="shared" si="3"/>
        <v>0</v>
      </c>
      <c r="CF42" s="329">
        <f t="shared" si="23"/>
      </c>
      <c r="CG42" s="329">
        <f t="shared" si="24"/>
      </c>
      <c r="CH42" s="329">
        <f t="shared" si="25"/>
      </c>
      <c r="CI42" s="329">
        <f t="shared" si="26"/>
      </c>
      <c r="CJ42" s="329">
        <f t="shared" si="27"/>
      </c>
      <c r="CK42" s="329">
        <f t="shared" si="28"/>
      </c>
      <c r="CL42" s="329">
        <f t="shared" si="29"/>
      </c>
      <c r="CM42" s="485" t="s">
        <v>1123</v>
      </c>
      <c r="CN42" s="724" t="s">
        <v>871</v>
      </c>
      <c r="CO42" s="440"/>
      <c r="CP42" s="392"/>
      <c r="CQ42" s="392"/>
      <c r="CR42" s="393"/>
      <c r="CS42" s="834"/>
      <c r="CT42" s="592"/>
      <c r="CU42" s="21" t="e">
        <f t="shared" si="30"/>
        <v>#DIV/0!</v>
      </c>
      <c r="CV42" s="21" t="e">
        <f t="shared" si="31"/>
        <v>#DIV/0!</v>
      </c>
      <c r="CX42" s="622">
        <f t="shared" si="32"/>
        <v>0</v>
      </c>
      <c r="CY42" s="623">
        <f t="shared" si="33"/>
        <v>0</v>
      </c>
      <c r="CZ42" s="624">
        <f t="shared" si="34"/>
        <v>0</v>
      </c>
      <c r="DA42" s="634">
        <f t="shared" si="35"/>
        <v>0</v>
      </c>
      <c r="DB42" s="591">
        <f t="shared" si="36"/>
        <v>800000</v>
      </c>
      <c r="DC42" s="591">
        <f t="shared" si="37"/>
        <v>0</v>
      </c>
      <c r="DD42" s="591">
        <v>15000</v>
      </c>
      <c r="DI42" s="54">
        <v>1.6875</v>
      </c>
      <c r="DJ42" s="54">
        <v>6.25</v>
      </c>
      <c r="DK42" s="649">
        <f t="shared" si="38"/>
        <v>0</v>
      </c>
    </row>
    <row r="43" spans="1:115" s="54" customFormat="1" ht="12.75">
      <c r="A43" s="24" t="s">
        <v>371</v>
      </c>
      <c r="B43" s="69"/>
      <c r="C43" s="636" t="s">
        <v>865</v>
      </c>
      <c r="D43" s="670" t="s">
        <v>214</v>
      </c>
      <c r="E43" s="374" t="s">
        <v>1690</v>
      </c>
      <c r="F43" s="15"/>
      <c r="G43" s="739">
        <v>1</v>
      </c>
      <c r="H43" s="17">
        <v>5</v>
      </c>
      <c r="I43" s="740">
        <v>5</v>
      </c>
      <c r="J43" s="324"/>
      <c r="K43" s="188"/>
      <c r="L43" s="867">
        <v>33</v>
      </c>
      <c r="M43" s="895"/>
      <c r="N43" s="106"/>
      <c r="O43" s="455">
        <v>50</v>
      </c>
      <c r="P43" s="531">
        <v>25</v>
      </c>
      <c r="Q43" s="340"/>
      <c r="R43" s="98"/>
      <c r="S43" s="326"/>
      <c r="T43" s="342">
        <v>800</v>
      </c>
      <c r="U43" s="343"/>
      <c r="V43" s="344">
        <v>40</v>
      </c>
      <c r="W43" s="289"/>
      <c r="X43" s="340"/>
      <c r="Y43" s="43"/>
      <c r="Z43" s="44"/>
      <c r="AA43" s="44"/>
      <c r="AB43" s="49"/>
      <c r="AC43" s="345"/>
      <c r="AD43" s="312"/>
      <c r="AE43" s="292"/>
      <c r="AF43" s="46"/>
      <c r="AG43" s="48"/>
      <c r="AH43" s="48"/>
      <c r="AI43" s="47"/>
      <c r="AJ43" s="5"/>
      <c r="AK43" s="727"/>
      <c r="AL43" s="862"/>
      <c r="AM43" s="458"/>
      <c r="AN43" s="295"/>
      <c r="AO43" s="145"/>
      <c r="AP43" s="85"/>
      <c r="AQ43" s="677"/>
      <c r="AR43" s="56"/>
      <c r="AS43" s="34"/>
      <c r="AT43" s="34"/>
      <c r="AU43" s="73"/>
      <c r="AV43" s="39"/>
      <c r="AW43" s="143"/>
      <c r="AX43" s="33"/>
      <c r="AY43" s="34"/>
      <c r="AZ43" s="34"/>
      <c r="BA43" s="84"/>
      <c r="BB43" s="748"/>
      <c r="BC43" s="590"/>
      <c r="BD43" s="588"/>
      <c r="BE43" s="299"/>
      <c r="BF43" s="300"/>
      <c r="BG43" s="112"/>
      <c r="BH43" s="541"/>
      <c r="BI43" s="301">
        <v>2</v>
      </c>
      <c r="BJ43" s="655" t="s">
        <v>870</v>
      </c>
      <c r="BK43" s="36" t="s">
        <v>1636</v>
      </c>
      <c r="BL43" s="303" t="s">
        <v>1771</v>
      </c>
      <c r="BM43" s="86" t="s">
        <v>1676</v>
      </c>
      <c r="BN43" s="303" t="s">
        <v>104</v>
      </c>
      <c r="BO43" s="86"/>
      <c r="BP43" s="445"/>
      <c r="BQ43" s="657"/>
      <c r="BR43" s="585"/>
      <c r="BS43" s="365"/>
      <c r="BT43" s="365"/>
      <c r="BU43" s="365"/>
      <c r="BV43" s="580"/>
      <c r="BW43" s="366"/>
      <c r="BX43"/>
      <c r="BY43"/>
      <c r="BZ43" s="1"/>
      <c r="CA43" s="21"/>
      <c r="CB43" s="605"/>
      <c r="CC43" s="610"/>
      <c r="CD43" s="601"/>
      <c r="CE43" s="329">
        <f t="shared" si="3"/>
        <v>0</v>
      </c>
      <c r="CF43" s="329">
        <f t="shared" si="23"/>
      </c>
      <c r="CG43" s="329">
        <f t="shared" si="24"/>
      </c>
      <c r="CH43" s="329">
        <f t="shared" si="25"/>
      </c>
      <c r="CI43" s="329">
        <f t="shared" si="26"/>
      </c>
      <c r="CJ43" s="329">
        <f t="shared" si="27"/>
      </c>
      <c r="CK43" s="329">
        <f t="shared" si="28"/>
      </c>
      <c r="CL43" s="329">
        <f t="shared" si="29"/>
      </c>
      <c r="CM43" s="485" t="s">
        <v>1510</v>
      </c>
      <c r="CN43" s="724" t="s">
        <v>871</v>
      </c>
      <c r="CO43" s="440" t="s">
        <v>1575</v>
      </c>
      <c r="CP43" s="392"/>
      <c r="CQ43" s="392"/>
      <c r="CR43" s="393"/>
      <c r="CS43" s="834"/>
      <c r="CT43" s="592"/>
      <c r="CU43" s="21" t="e">
        <f t="shared" si="30"/>
        <v>#DIV/0!</v>
      </c>
      <c r="CV43" s="21" t="e">
        <f t="shared" si="31"/>
        <v>#DIV/0!</v>
      </c>
      <c r="CX43" s="622">
        <f t="shared" si="32"/>
        <v>0</v>
      </c>
      <c r="CY43" s="623">
        <f t="shared" si="33"/>
        <v>0</v>
      </c>
      <c r="CZ43" s="624">
        <f t="shared" si="34"/>
        <v>0</v>
      </c>
      <c r="DA43" s="634">
        <f t="shared" si="35"/>
        <v>0</v>
      </c>
      <c r="DB43" s="591">
        <f t="shared" si="36"/>
        <v>800000</v>
      </c>
      <c r="DC43" s="591">
        <f t="shared" si="37"/>
        <v>0</v>
      </c>
      <c r="DD43" s="591">
        <v>15000</v>
      </c>
      <c r="DI43" s="54">
        <v>1.6875</v>
      </c>
      <c r="DJ43" s="54">
        <v>6.25</v>
      </c>
      <c r="DK43" s="649">
        <f t="shared" si="38"/>
        <v>0</v>
      </c>
    </row>
    <row r="44" spans="1:115" s="54" customFormat="1" ht="12.75">
      <c r="A44" s="24" t="s">
        <v>798</v>
      </c>
      <c r="B44" s="69"/>
      <c r="C44" s="636" t="s">
        <v>865</v>
      </c>
      <c r="D44" s="670"/>
      <c r="E44" s="374" t="s">
        <v>1691</v>
      </c>
      <c r="F44" s="15">
        <v>1</v>
      </c>
      <c r="G44" s="18"/>
      <c r="H44" s="17"/>
      <c r="I44" s="323"/>
      <c r="J44" s="324"/>
      <c r="K44" s="188"/>
      <c r="L44" s="867"/>
      <c r="M44" s="895"/>
      <c r="N44" s="106"/>
      <c r="O44" s="455"/>
      <c r="P44" s="531"/>
      <c r="Q44" s="340"/>
      <c r="R44" s="98"/>
      <c r="S44" s="326"/>
      <c r="T44" s="342">
        <v>1400</v>
      </c>
      <c r="U44" s="343"/>
      <c r="V44" s="344">
        <v>40</v>
      </c>
      <c r="W44" s="289">
        <v>0.387</v>
      </c>
      <c r="X44" s="340"/>
      <c r="Y44" s="43"/>
      <c r="Z44" s="44"/>
      <c r="AA44" s="44"/>
      <c r="AB44" s="49"/>
      <c r="AC44" s="345"/>
      <c r="AD44" s="312"/>
      <c r="AE44" s="292"/>
      <c r="AF44" s="46"/>
      <c r="AG44" s="48"/>
      <c r="AH44" s="48"/>
      <c r="AI44" s="47"/>
      <c r="AJ44" s="5"/>
      <c r="AK44" s="727"/>
      <c r="AL44" s="862"/>
      <c r="AM44" s="458"/>
      <c r="AN44" s="295"/>
      <c r="AO44" s="145"/>
      <c r="AP44" s="85"/>
      <c r="AQ44" s="677"/>
      <c r="AR44" s="56"/>
      <c r="AS44" s="34"/>
      <c r="AT44" s="34"/>
      <c r="AU44" s="73"/>
      <c r="AV44" s="39"/>
      <c r="AW44" s="906">
        <v>160</v>
      </c>
      <c r="AX44" s="33"/>
      <c r="AY44" s="34"/>
      <c r="AZ44" s="34"/>
      <c r="BA44" s="84"/>
      <c r="BB44" s="748"/>
      <c r="BC44" s="590"/>
      <c r="BD44" s="588"/>
      <c r="BE44" s="299"/>
      <c r="BF44" s="300"/>
      <c r="BG44" s="112"/>
      <c r="BH44" s="541"/>
      <c r="BI44" s="301">
        <v>3</v>
      </c>
      <c r="BJ44" s="655" t="s">
        <v>870</v>
      </c>
      <c r="BK44" s="36" t="s">
        <v>86</v>
      </c>
      <c r="BL44" s="303" t="s">
        <v>1527</v>
      </c>
      <c r="BM44" s="86" t="s">
        <v>1611</v>
      </c>
      <c r="BN44" s="303" t="s">
        <v>104</v>
      </c>
      <c r="BO44" s="86"/>
      <c r="BP44" s="445"/>
      <c r="BQ44" s="657"/>
      <c r="BR44" s="585"/>
      <c r="BS44" s="365"/>
      <c r="BT44" s="365"/>
      <c r="BU44" s="365"/>
      <c r="BV44" s="580"/>
      <c r="BW44" s="366"/>
      <c r="BX44"/>
      <c r="BY44"/>
      <c r="BZ44" s="1"/>
      <c r="CA44" s="21"/>
      <c r="CB44" s="605"/>
      <c r="CC44" s="600"/>
      <c r="CD44" s="601"/>
      <c r="CE44" s="329">
        <f t="shared" si="3"/>
        <v>0</v>
      </c>
      <c r="CF44" s="329">
        <f t="shared" si="23"/>
        <v>0</v>
      </c>
      <c r="CG44" s="329">
        <f t="shared" si="24"/>
      </c>
      <c r="CH44" s="329">
        <f t="shared" si="25"/>
      </c>
      <c r="CI44" s="329">
        <f t="shared" si="26"/>
      </c>
      <c r="CJ44" s="329">
        <f t="shared" si="27"/>
      </c>
      <c r="CK44" s="329">
        <f t="shared" si="28"/>
      </c>
      <c r="CL44" s="329">
        <f t="shared" si="29"/>
      </c>
      <c r="CM44" s="485" t="s">
        <v>411</v>
      </c>
      <c r="CN44" s="724" t="s">
        <v>871</v>
      </c>
      <c r="CO44" s="440"/>
      <c r="CP44" s="392"/>
      <c r="CQ44" s="392"/>
      <c r="CR44" s="393"/>
      <c r="CS44" s="834"/>
      <c r="CT44" s="592"/>
      <c r="CU44" s="21" t="e">
        <f t="shared" si="30"/>
        <v>#DIV/0!</v>
      </c>
      <c r="CV44" s="21" t="e">
        <f t="shared" si="31"/>
        <v>#DIV/0!</v>
      </c>
      <c r="CX44" s="622">
        <f t="shared" si="32"/>
        <v>0</v>
      </c>
      <c r="CY44" s="623">
        <f t="shared" si="33"/>
        <v>0</v>
      </c>
      <c r="CZ44" s="624">
        <f t="shared" si="34"/>
        <v>0</v>
      </c>
      <c r="DA44" s="634">
        <f t="shared" si="35"/>
        <v>160</v>
      </c>
      <c r="DB44" s="591">
        <f t="shared" si="36"/>
        <v>1400000</v>
      </c>
      <c r="DC44" s="591">
        <f t="shared" si="37"/>
        <v>200</v>
      </c>
      <c r="DD44" s="591">
        <v>15000</v>
      </c>
      <c r="DI44" s="54">
        <v>1.6875</v>
      </c>
      <c r="DJ44" s="54">
        <v>6.25</v>
      </c>
      <c r="DK44" s="649">
        <f t="shared" si="38"/>
        <v>0.5418000000000001</v>
      </c>
    </row>
    <row r="45" spans="1:115" s="54" customFormat="1" ht="12.75">
      <c r="A45" s="24" t="s">
        <v>1528</v>
      </c>
      <c r="B45" s="69"/>
      <c r="C45" s="636" t="s">
        <v>865</v>
      </c>
      <c r="D45" s="670"/>
      <c r="E45" s="374" t="s">
        <v>1691</v>
      </c>
      <c r="F45" s="15">
        <v>1</v>
      </c>
      <c r="G45" s="18"/>
      <c r="H45" s="17"/>
      <c r="I45" s="323"/>
      <c r="J45" s="324"/>
      <c r="K45" s="188"/>
      <c r="L45" s="867"/>
      <c r="M45" s="895"/>
      <c r="N45" s="106"/>
      <c r="O45" s="455"/>
      <c r="P45" s="531"/>
      <c r="Q45" s="340"/>
      <c r="R45" s="98"/>
      <c r="S45" s="326"/>
      <c r="T45" s="342">
        <v>1400</v>
      </c>
      <c r="U45" s="343"/>
      <c r="V45" s="344">
        <v>40</v>
      </c>
      <c r="W45" s="289">
        <v>0.387</v>
      </c>
      <c r="X45" s="340"/>
      <c r="Y45" s="43"/>
      <c r="Z45" s="44"/>
      <c r="AA45" s="44"/>
      <c r="AB45" s="49"/>
      <c r="AC45" s="345"/>
      <c r="AD45" s="312"/>
      <c r="AE45" s="292"/>
      <c r="AF45" s="46"/>
      <c r="AG45" s="48"/>
      <c r="AH45" s="48"/>
      <c r="AI45" s="47"/>
      <c r="AJ45" s="5"/>
      <c r="AK45" s="727"/>
      <c r="AL45" s="904"/>
      <c r="AM45" s="458"/>
      <c r="AN45" s="295"/>
      <c r="AO45" s="145"/>
      <c r="AP45" s="85"/>
      <c r="AQ45" s="677"/>
      <c r="AR45" s="56"/>
      <c r="AS45" s="34"/>
      <c r="AT45" s="34"/>
      <c r="AU45" s="73"/>
      <c r="AV45" s="39"/>
      <c r="AW45" s="143">
        <v>175</v>
      </c>
      <c r="AX45" s="33"/>
      <c r="AY45" s="34"/>
      <c r="AZ45" s="34"/>
      <c r="BA45" s="84"/>
      <c r="BB45" s="749"/>
      <c r="BC45" s="590"/>
      <c r="BD45" s="588"/>
      <c r="BE45" s="299"/>
      <c r="BF45" s="300"/>
      <c r="BG45" s="112"/>
      <c r="BH45" s="541"/>
      <c r="BI45" s="301">
        <v>2</v>
      </c>
      <c r="BJ45" s="655" t="s">
        <v>870</v>
      </c>
      <c r="BK45" s="36" t="s">
        <v>1564</v>
      </c>
      <c r="BL45" s="303" t="s">
        <v>1615</v>
      </c>
      <c r="BM45" s="86" t="s">
        <v>1612</v>
      </c>
      <c r="BN45" s="303" t="s">
        <v>104</v>
      </c>
      <c r="BO45" s="86"/>
      <c r="BP45" s="445"/>
      <c r="BQ45" s="657"/>
      <c r="BR45" s="585"/>
      <c r="BS45" s="365"/>
      <c r="BT45" s="365"/>
      <c r="BU45" s="365"/>
      <c r="BV45" s="580"/>
      <c r="BW45" s="366"/>
      <c r="BX45"/>
      <c r="BY45"/>
      <c r="BZ45" s="1"/>
      <c r="CA45" s="21"/>
      <c r="CB45" s="605"/>
      <c r="CC45" s="600"/>
      <c r="CD45" s="601"/>
      <c r="CE45" s="329">
        <f t="shared" si="3"/>
        <v>0</v>
      </c>
      <c r="CF45" s="329">
        <f t="shared" si="23"/>
        <v>0</v>
      </c>
      <c r="CG45" s="329">
        <f t="shared" si="24"/>
      </c>
      <c r="CH45" s="329">
        <f t="shared" si="25"/>
      </c>
      <c r="CI45" s="329">
        <f t="shared" si="26"/>
      </c>
      <c r="CJ45" s="329">
        <f t="shared" si="27"/>
      </c>
      <c r="CK45" s="329">
        <f t="shared" si="28"/>
      </c>
      <c r="CL45" s="329">
        <f t="shared" si="29"/>
      </c>
      <c r="CM45" s="485" t="s">
        <v>1123</v>
      </c>
      <c r="CN45" s="724" t="s">
        <v>871</v>
      </c>
      <c r="CO45" s="440"/>
      <c r="CP45" s="392"/>
      <c r="CQ45" s="392"/>
      <c r="CR45" s="393"/>
      <c r="CS45" s="834"/>
      <c r="CT45" s="592"/>
      <c r="CU45" s="21" t="e">
        <f t="shared" si="30"/>
        <v>#DIV/0!</v>
      </c>
      <c r="CV45" s="21" t="e">
        <f t="shared" si="31"/>
        <v>#DIV/0!</v>
      </c>
      <c r="CX45" s="622">
        <f t="shared" si="32"/>
        <v>0</v>
      </c>
      <c r="CY45" s="623">
        <f t="shared" si="33"/>
        <v>0</v>
      </c>
      <c r="CZ45" s="624">
        <f t="shared" si="34"/>
        <v>0</v>
      </c>
      <c r="DA45" s="634">
        <f t="shared" si="35"/>
        <v>175</v>
      </c>
      <c r="DB45" s="591">
        <f t="shared" si="36"/>
        <v>1400000</v>
      </c>
      <c r="DC45" s="591">
        <f t="shared" si="37"/>
        <v>218.75</v>
      </c>
      <c r="DD45" s="591">
        <v>15000</v>
      </c>
      <c r="DI45" s="54">
        <v>1.6875</v>
      </c>
      <c r="DJ45" s="54">
        <v>6.25</v>
      </c>
      <c r="DK45" s="649">
        <f t="shared" si="38"/>
        <v>0.5418000000000001</v>
      </c>
    </row>
    <row r="46" spans="1:115" s="54" customFormat="1" ht="12.75">
      <c r="A46" s="24" t="s">
        <v>1557</v>
      </c>
      <c r="B46" s="69"/>
      <c r="C46" s="636" t="s">
        <v>865</v>
      </c>
      <c r="D46" s="670" t="s">
        <v>214</v>
      </c>
      <c r="E46" s="374" t="s">
        <v>1691</v>
      </c>
      <c r="F46" s="15">
        <v>1</v>
      </c>
      <c r="G46" s="18"/>
      <c r="H46" s="17"/>
      <c r="I46" s="323"/>
      <c r="J46" s="324"/>
      <c r="K46" s="188"/>
      <c r="L46" s="867"/>
      <c r="M46" s="895"/>
      <c r="N46" s="106"/>
      <c r="O46" s="455"/>
      <c r="P46" s="531"/>
      <c r="Q46" s="340"/>
      <c r="R46" s="98"/>
      <c r="S46" s="326"/>
      <c r="T46" s="342">
        <v>1400</v>
      </c>
      <c r="U46" s="343"/>
      <c r="V46" s="344">
        <v>40</v>
      </c>
      <c r="W46" s="898">
        <v>0.43</v>
      </c>
      <c r="X46" s="340"/>
      <c r="Y46" s="43"/>
      <c r="Z46" s="44"/>
      <c r="AA46" s="44"/>
      <c r="AB46" s="49"/>
      <c r="AC46" s="345"/>
      <c r="AD46" s="312"/>
      <c r="AE46" s="292"/>
      <c r="AF46" s="46"/>
      <c r="AG46" s="48"/>
      <c r="AH46" s="48"/>
      <c r="AI46" s="47"/>
      <c r="AJ46" s="5"/>
      <c r="AK46" s="727"/>
      <c r="AL46" s="862"/>
      <c r="AM46" s="458"/>
      <c r="AN46" s="295"/>
      <c r="AO46" s="145"/>
      <c r="AP46" s="85"/>
      <c r="AQ46" s="677"/>
      <c r="AR46" s="56"/>
      <c r="AS46" s="34"/>
      <c r="AT46" s="34"/>
      <c r="AU46" s="73"/>
      <c r="AV46" s="39"/>
      <c r="AW46" s="143">
        <v>165</v>
      </c>
      <c r="AX46" s="33"/>
      <c r="AY46" s="34"/>
      <c r="AZ46" s="34"/>
      <c r="BA46" s="84"/>
      <c r="BB46" s="748"/>
      <c r="BC46" s="590"/>
      <c r="BD46" s="588"/>
      <c r="BE46" s="299"/>
      <c r="BF46" s="300"/>
      <c r="BG46" s="112"/>
      <c r="BH46" s="541"/>
      <c r="BI46" s="301">
        <v>1</v>
      </c>
      <c r="BJ46" s="655" t="s">
        <v>870</v>
      </c>
      <c r="BK46" s="36" t="s">
        <v>1565</v>
      </c>
      <c r="BL46" s="303" t="s">
        <v>1529</v>
      </c>
      <c r="BM46" s="86" t="s">
        <v>1613</v>
      </c>
      <c r="BN46" s="303" t="s">
        <v>104</v>
      </c>
      <c r="BO46" s="86"/>
      <c r="BP46" s="445"/>
      <c r="BQ46" s="657"/>
      <c r="BR46" s="585"/>
      <c r="BS46" s="365"/>
      <c r="BT46" s="365"/>
      <c r="BU46" s="365"/>
      <c r="BV46" s="580"/>
      <c r="BW46" s="366"/>
      <c r="BX46"/>
      <c r="BY46"/>
      <c r="BZ46" s="1"/>
      <c r="CA46" s="21"/>
      <c r="CB46" s="605"/>
      <c r="CC46" s="610"/>
      <c r="CD46" s="601"/>
      <c r="CE46" s="329">
        <f t="shared" si="3"/>
        <v>0</v>
      </c>
      <c r="CF46" s="329">
        <f t="shared" si="23"/>
        <v>0</v>
      </c>
      <c r="CG46" s="329">
        <f t="shared" si="24"/>
      </c>
      <c r="CH46" s="329">
        <f t="shared" si="25"/>
      </c>
      <c r="CI46" s="329">
        <f t="shared" si="26"/>
      </c>
      <c r="CJ46" s="329">
        <f t="shared" si="27"/>
      </c>
      <c r="CK46" s="329">
        <f t="shared" si="28"/>
      </c>
      <c r="CL46" s="329">
        <f t="shared" si="29"/>
      </c>
      <c r="CM46" s="485" t="s">
        <v>1510</v>
      </c>
      <c r="CN46" s="724" t="s">
        <v>871</v>
      </c>
      <c r="CO46" s="440" t="s">
        <v>1575</v>
      </c>
      <c r="CP46" s="392"/>
      <c r="CQ46" s="392"/>
      <c r="CR46" s="393"/>
      <c r="CS46" s="834"/>
      <c r="CT46" s="592"/>
      <c r="CU46" s="21" t="e">
        <f t="shared" si="30"/>
        <v>#DIV/0!</v>
      </c>
      <c r="CV46" s="21" t="e">
        <f t="shared" si="31"/>
        <v>#DIV/0!</v>
      </c>
      <c r="CX46" s="622">
        <f t="shared" si="32"/>
        <v>0</v>
      </c>
      <c r="CY46" s="623">
        <f t="shared" si="33"/>
        <v>0</v>
      </c>
      <c r="CZ46" s="624">
        <f t="shared" si="34"/>
        <v>0</v>
      </c>
      <c r="DA46" s="634">
        <f t="shared" si="35"/>
        <v>165</v>
      </c>
      <c r="DB46" s="591">
        <f t="shared" si="36"/>
        <v>1400000</v>
      </c>
      <c r="DC46" s="591">
        <f t="shared" si="37"/>
        <v>206.25</v>
      </c>
      <c r="DD46" s="591">
        <v>15000</v>
      </c>
      <c r="DI46" s="54">
        <v>1.6875</v>
      </c>
      <c r="DJ46" s="54">
        <v>6.25</v>
      </c>
      <c r="DK46" s="649">
        <f t="shared" si="38"/>
        <v>0.602</v>
      </c>
    </row>
    <row r="47" spans="1:115" s="54" customFormat="1" ht="12.75">
      <c r="A47" s="24" t="s">
        <v>711</v>
      </c>
      <c r="B47" s="69"/>
      <c r="C47" s="636" t="s">
        <v>865</v>
      </c>
      <c r="D47" s="670"/>
      <c r="E47" s="374" t="s">
        <v>1691</v>
      </c>
      <c r="F47" s="15"/>
      <c r="G47" s="18"/>
      <c r="H47" s="17"/>
      <c r="I47" s="323"/>
      <c r="J47" s="324"/>
      <c r="K47" s="188"/>
      <c r="L47" s="867"/>
      <c r="M47" s="895"/>
      <c r="N47" s="106"/>
      <c r="O47" s="455"/>
      <c r="P47" s="531"/>
      <c r="Q47" s="340"/>
      <c r="R47" s="98"/>
      <c r="S47" s="326"/>
      <c r="T47" s="342">
        <v>1400</v>
      </c>
      <c r="U47" s="343"/>
      <c r="V47" s="344">
        <v>40</v>
      </c>
      <c r="W47" s="899">
        <v>0.559</v>
      </c>
      <c r="X47" s="340"/>
      <c r="Y47" s="43"/>
      <c r="Z47" s="44"/>
      <c r="AA47" s="44"/>
      <c r="AB47" s="49"/>
      <c r="AC47" s="345"/>
      <c r="AD47" s="312"/>
      <c r="AE47" s="292"/>
      <c r="AF47" s="46"/>
      <c r="AG47" s="48"/>
      <c r="AH47" s="48"/>
      <c r="AI47" s="47"/>
      <c r="AJ47" s="5"/>
      <c r="AK47" s="727"/>
      <c r="AL47" s="862"/>
      <c r="AM47" s="458"/>
      <c r="AN47" s="295"/>
      <c r="AO47" s="145"/>
      <c r="AP47" s="85"/>
      <c r="AQ47" s="677"/>
      <c r="AR47" s="56"/>
      <c r="AS47" s="34"/>
      <c r="AT47" s="34"/>
      <c r="AU47" s="73"/>
      <c r="AV47" s="39"/>
      <c r="AW47" s="143">
        <v>155</v>
      </c>
      <c r="AX47" s="33"/>
      <c r="AY47" s="34"/>
      <c r="AZ47" s="34"/>
      <c r="BA47" s="84"/>
      <c r="BB47" s="749"/>
      <c r="BC47" s="590"/>
      <c r="BD47" s="588"/>
      <c r="BE47" s="299"/>
      <c r="BF47" s="300"/>
      <c r="BG47" s="112"/>
      <c r="BH47" s="541"/>
      <c r="BI47" s="301">
        <v>4</v>
      </c>
      <c r="BJ47" s="655" t="s">
        <v>870</v>
      </c>
      <c r="BK47" s="36" t="s">
        <v>1715</v>
      </c>
      <c r="BL47" s="303" t="s">
        <v>1775</v>
      </c>
      <c r="BM47" s="303" t="s">
        <v>1614</v>
      </c>
      <c r="BN47" s="303" t="s">
        <v>104</v>
      </c>
      <c r="BO47" s="86"/>
      <c r="BP47" s="445"/>
      <c r="BQ47" s="657"/>
      <c r="BR47" s="585"/>
      <c r="BS47" s="365"/>
      <c r="BT47" s="365"/>
      <c r="BU47" s="365"/>
      <c r="BV47" s="580"/>
      <c r="BW47" s="366"/>
      <c r="BX47"/>
      <c r="BY47"/>
      <c r="BZ47" s="1"/>
      <c r="CA47" s="21"/>
      <c r="CB47" s="605"/>
      <c r="CC47" s="610"/>
      <c r="CD47" s="601"/>
      <c r="CE47" s="329">
        <f t="shared" si="3"/>
        <v>0</v>
      </c>
      <c r="CF47" s="329">
        <f t="shared" si="23"/>
      </c>
      <c r="CG47" s="329">
        <f t="shared" si="24"/>
      </c>
      <c r="CH47" s="329">
        <f t="shared" si="25"/>
      </c>
      <c r="CI47" s="329">
        <f t="shared" si="26"/>
      </c>
      <c r="CJ47" s="329">
        <f t="shared" si="27"/>
      </c>
      <c r="CK47" s="329">
        <f t="shared" si="28"/>
      </c>
      <c r="CL47" s="329">
        <f t="shared" si="29"/>
      </c>
      <c r="CM47" s="485" t="s">
        <v>1510</v>
      </c>
      <c r="CN47" s="724" t="s">
        <v>871</v>
      </c>
      <c r="CO47" s="440"/>
      <c r="CP47" s="392"/>
      <c r="CQ47" s="392"/>
      <c r="CR47" s="393"/>
      <c r="CS47" s="834"/>
      <c r="CT47" s="592"/>
      <c r="CU47" s="21" t="e">
        <f t="shared" si="30"/>
        <v>#DIV/0!</v>
      </c>
      <c r="CV47" s="21" t="e">
        <f t="shared" si="31"/>
        <v>#DIV/0!</v>
      </c>
      <c r="CX47" s="622">
        <f t="shared" si="32"/>
        <v>0</v>
      </c>
      <c r="CY47" s="623">
        <f t="shared" si="33"/>
        <v>0</v>
      </c>
      <c r="CZ47" s="624">
        <f t="shared" si="34"/>
        <v>0</v>
      </c>
      <c r="DA47" s="634">
        <f t="shared" si="35"/>
        <v>155</v>
      </c>
      <c r="DB47" s="591">
        <f t="shared" si="36"/>
        <v>1400000</v>
      </c>
      <c r="DC47" s="591">
        <f t="shared" si="37"/>
        <v>193.75</v>
      </c>
      <c r="DD47" s="591">
        <v>15000</v>
      </c>
      <c r="DI47" s="54">
        <v>1.6875</v>
      </c>
      <c r="DJ47" s="54">
        <v>6.25</v>
      </c>
      <c r="DK47" s="649">
        <f t="shared" si="38"/>
        <v>0.7826000000000001</v>
      </c>
    </row>
    <row r="48" spans="1:115" s="54" customFormat="1" ht="12.75">
      <c r="A48" s="24" t="s">
        <v>875</v>
      </c>
      <c r="B48" s="69" t="s">
        <v>875</v>
      </c>
      <c r="C48" s="315" t="s">
        <v>1042</v>
      </c>
      <c r="D48" s="670" t="s">
        <v>302</v>
      </c>
      <c r="E48" s="374" t="s">
        <v>877</v>
      </c>
      <c r="F48" s="15">
        <f aca="true" t="shared" si="39" ref="F48:R48">F49+LOOKUP("x",$D$50:$D$53,F$50:F$53)+LOOKUP("x",$D$54:$D$57,F$54:F$57)+LOOKUP("x",$D$58:$D$61,F$58:F$61)+LOOKUP("x",$D$62:$D$65,F$62:F$65)+LOOKUP("x",$D$66:$D$69,F$66:F$69)</f>
        <v>7</v>
      </c>
      <c r="G48" s="18">
        <f t="shared" si="39"/>
        <v>3</v>
      </c>
      <c r="H48" s="17">
        <f t="shared" si="39"/>
        <v>6</v>
      </c>
      <c r="I48" s="323">
        <f t="shared" si="39"/>
        <v>0</v>
      </c>
      <c r="J48" s="324">
        <f t="shared" si="39"/>
        <v>3</v>
      </c>
      <c r="K48" s="188">
        <f t="shared" si="39"/>
        <v>3</v>
      </c>
      <c r="L48" s="867">
        <f t="shared" si="39"/>
        <v>375</v>
      </c>
      <c r="M48" s="895">
        <f t="shared" si="39"/>
        <v>1095</v>
      </c>
      <c r="N48" s="106">
        <f t="shared" si="39"/>
        <v>400</v>
      </c>
      <c r="O48" s="455">
        <f t="shared" si="39"/>
        <v>225</v>
      </c>
      <c r="P48" s="531">
        <f t="shared" si="39"/>
        <v>100</v>
      </c>
      <c r="Q48" s="340">
        <f t="shared" si="39"/>
        <v>1856</v>
      </c>
      <c r="R48" s="341">
        <f t="shared" si="39"/>
        <v>280</v>
      </c>
      <c r="S48" s="358">
        <f>MAX($CE48:$CL48)</f>
        <v>1533.6608264055167</v>
      </c>
      <c r="T48" s="342">
        <f aca="true" t="shared" si="40" ref="T48:AD48">T49+LOOKUP("x",$D$50:$D$53,T$50:T$53)+LOOKUP("x",$D$54:$D$57,T$54:T$57)+LOOKUP("x",$D$58:$D$61,T$58:T$61)+LOOKUP("x",$D$62:$D$65,T$62:T$65)+LOOKUP("x",$D$66:$D$69,T$66:T$69)</f>
        <v>11341</v>
      </c>
      <c r="U48" s="343">
        <f t="shared" si="40"/>
        <v>115000</v>
      </c>
      <c r="V48" s="344">
        <f t="shared" si="40"/>
        <v>5200</v>
      </c>
      <c r="W48" s="289">
        <f t="shared" si="40"/>
        <v>1.026</v>
      </c>
      <c r="X48" s="148">
        <f t="shared" si="40"/>
        <v>3750</v>
      </c>
      <c r="Y48" s="43">
        <f t="shared" si="40"/>
        <v>50</v>
      </c>
      <c r="Z48" s="44">
        <f t="shared" si="40"/>
        <v>10</v>
      </c>
      <c r="AA48" s="44">
        <f t="shared" si="40"/>
        <v>83.75</v>
      </c>
      <c r="AB48" s="49">
        <f t="shared" si="40"/>
        <v>67.5</v>
      </c>
      <c r="AC48" s="345">
        <f t="shared" si="40"/>
        <v>2500</v>
      </c>
      <c r="AD48" s="312">
        <f t="shared" si="40"/>
        <v>1630</v>
      </c>
      <c r="AE48" s="292">
        <f>AC48/AD48</f>
        <v>1.5337423312883436</v>
      </c>
      <c r="AF48" s="46">
        <f>AF49+LOOKUP("x",$D$50:$D$53,AF$50:AF$53)+LOOKUP("x",$D$54:$D$57,AF$54:AF$57)+LOOKUP("x",$D$58:$D$61,AF$58:AF$61)+LOOKUP("x",$D$62:$D$65,AF$62:AF$65)+LOOKUP("x",$D$66:$D$69,AF$66:AF$69)</f>
        <v>0</v>
      </c>
      <c r="AG48" s="48">
        <f>AG49+LOOKUP("x",$D$50:$D$53,AG$50:AG$53)+LOOKUP("x",$D$54:$D$57,AG$54:AG$57)+LOOKUP("x",$D$58:$D$61,AG$58:AG$61)+LOOKUP("x",$D$62:$D$65,AG$62:AG$65)+LOOKUP("x",$D$66:$D$69,AG$66:AG$69)</f>
        <v>50</v>
      </c>
      <c r="AH48" s="48">
        <f>AH49+LOOKUP("x",$D$50:$D$53,AH$50:AH$53)+LOOKUP("x",$D$54:$D$57,AH$54:AH$57)+LOOKUP("x",$D$58:$D$61,AH$58:AH$61)+LOOKUP("x",$D$62:$D$65,AH$62:AH$65)+LOOKUP("x",$D$66:$D$69,AH$66:AH$69)</f>
        <v>85</v>
      </c>
      <c r="AI48" s="47">
        <f>AI49+LOOKUP("x",$D$50:$D$53,AI$50:AI$53)+LOOKUP("x",$D$54:$D$57,AI$54:AI$57)+LOOKUP("x",$D$58:$D$61,AI$58:AI$61)+LOOKUP("x",$D$62:$D$65,AI$62:AI$65)+LOOKUP("x",$D$66:$D$69,AI$66:AI$69)</f>
        <v>60</v>
      </c>
      <c r="AJ48" s="5">
        <f>Q48+X48+AC48</f>
        <v>8106</v>
      </c>
      <c r="AK48" s="728" t="str">
        <f>IF($X48=$AC48,"=",IF(MAX($AC48,$X48)*0.1&gt;ABS($X48-$AC48),"~",IF(MAX($AC48,$X48)=$X48,"A","S")))</f>
        <v>A</v>
      </c>
      <c r="AL48" s="862">
        <f>AL49+LOOKUP("x",$D$50:$D$53,AL$50:AL$53)+LOOKUP("x",$D$54:$D$57,AL$54:AL$57)+LOOKUP("x",$D$58:$D$61,AL$58:AL$61)+LOOKUP("x",$D$62:$D$65,AL$62:AL$65)+LOOKUP("x",$D$66:$D$69,AL$66:AL$69)</f>
        <v>1500</v>
      </c>
      <c r="AM48" s="458">
        <f>AM49+LOOKUP("x",$D$50:$D$53,AM$50:AM$53)+LOOKUP("x",$D$54:$D$57,AM$54:AM$57)+LOOKUP("x",$D$58:$D$61,AM$58:AM$61)+LOOKUP("x",$D$62:$D$65,AM$62:AM$65)+LOOKUP("x",$D$66:$D$69,AM$66:AM$69)</f>
        <v>425</v>
      </c>
      <c r="AN48" s="295">
        <f>AL48/AM48</f>
        <v>3.5294117647058822</v>
      </c>
      <c r="AO48" s="145">
        <f aca="true" t="shared" si="41" ref="AO48:BB48">AO49+LOOKUP("x",$D$50:$D$53,AO$50:AO$53)+LOOKUP("x",$D$54:$D$57,AO$54:AO$57)+LOOKUP("x",$D$58:$D$61,AO$58:AO$61)+LOOKUP("x",$D$62:$D$65,AO$62:AO$65)+LOOKUP("x",$D$66:$D$69,AO$66:AO$69)</f>
        <v>60</v>
      </c>
      <c r="AP48" s="85">
        <f t="shared" si="41"/>
        <v>5</v>
      </c>
      <c r="AQ48" s="677">
        <f t="shared" si="41"/>
        <v>270</v>
      </c>
      <c r="AR48" s="56">
        <f t="shared" si="41"/>
        <v>0</v>
      </c>
      <c r="AS48" s="34">
        <f t="shared" si="41"/>
        <v>0</v>
      </c>
      <c r="AT48" s="34">
        <f t="shared" si="41"/>
        <v>15</v>
      </c>
      <c r="AU48" s="73">
        <f t="shared" si="41"/>
        <v>0</v>
      </c>
      <c r="AV48" s="39">
        <f t="shared" si="41"/>
        <v>268</v>
      </c>
      <c r="AW48" s="143">
        <f t="shared" si="41"/>
        <v>150</v>
      </c>
      <c r="AX48" s="33">
        <f t="shared" si="41"/>
        <v>0</v>
      </c>
      <c r="AY48" s="34">
        <f t="shared" si="41"/>
        <v>0</v>
      </c>
      <c r="AZ48" s="34">
        <f t="shared" si="41"/>
        <v>0</v>
      </c>
      <c r="BA48" s="84">
        <f t="shared" si="41"/>
        <v>0</v>
      </c>
      <c r="BB48" s="748">
        <f t="shared" si="41"/>
        <v>3</v>
      </c>
      <c r="BC48" s="590"/>
      <c r="BD48" s="588"/>
      <c r="BE48" s="299"/>
      <c r="BF48" s="300"/>
      <c r="BG48" s="112"/>
      <c r="BH48" s="541"/>
      <c r="BI48" s="301"/>
      <c r="BJ48" s="655" t="s">
        <v>870</v>
      </c>
      <c r="BK48" s="13"/>
      <c r="BL48" s="303"/>
      <c r="BM48" s="86" t="s">
        <v>1153</v>
      </c>
      <c r="BN48" s="303" t="s">
        <v>104</v>
      </c>
      <c r="BO48" s="86"/>
      <c r="BP48" s="656"/>
      <c r="BQ48" s="576"/>
      <c r="BR48" s="444"/>
      <c r="BS48" s="365"/>
      <c r="BT48" s="365"/>
      <c r="BU48" s="365"/>
      <c r="BV48" s="580"/>
      <c r="BW48" s="366"/>
      <c r="BX48"/>
      <c r="BY48"/>
      <c r="BZ48" s="685">
        <f>BZ49+LOOKUP("x",$D$50:$D$53,BZ$50:BZ$53)+LOOKUP("x",$D$54:$D$57,BZ$54:BZ$57)+LOOKUP("x",$D$58:$D$61,BZ$58:BZ$61)+LOOKUP("x",$D$62:$D$65,BZ$62:BZ$65)+LOOKUP("x",$D$66:$D$69,BZ$66:BZ$69)</f>
        <v>280</v>
      </c>
      <c r="CA48" s="21"/>
      <c r="CB48" s="605"/>
      <c r="CC48" s="600"/>
      <c r="CD48" s="601"/>
      <c r="CE48" s="329">
        <f t="shared" si="3"/>
        <v>280</v>
      </c>
      <c r="CF48" s="329">
        <f t="shared" si="23"/>
        <v>357</v>
      </c>
      <c r="CG48" s="329">
        <f t="shared" si="24"/>
        <v>455.17499999999995</v>
      </c>
      <c r="CH48" s="329">
        <f t="shared" si="25"/>
        <v>580.3481249999999</v>
      </c>
      <c r="CI48" s="329">
        <f t="shared" si="26"/>
        <v>739.9438593749998</v>
      </c>
      <c r="CJ48" s="329">
        <f t="shared" si="27"/>
        <v>943.4284207031246</v>
      </c>
      <c r="CK48" s="329">
        <f t="shared" si="28"/>
        <v>1202.8712363964837</v>
      </c>
      <c r="CL48" s="329">
        <f t="shared" si="29"/>
        <v>1533.6608264055167</v>
      </c>
      <c r="CM48" s="485" t="s">
        <v>1386</v>
      </c>
      <c r="CN48" s="724" t="s">
        <v>871</v>
      </c>
      <c r="CO48" s="835" t="s">
        <v>302</v>
      </c>
      <c r="CP48" s="836" t="s">
        <v>302</v>
      </c>
      <c r="CQ48" s="836" t="s">
        <v>302</v>
      </c>
      <c r="CR48" s="837" t="s">
        <v>302</v>
      </c>
      <c r="CS48" s="838" t="s">
        <v>302</v>
      </c>
      <c r="CT48" s="592"/>
      <c r="CU48" s="21" t="e">
        <f t="shared" si="30"/>
        <v>#VALUE!</v>
      </c>
      <c r="CV48" s="21" t="e">
        <f t="shared" si="31"/>
        <v>#VALUE!</v>
      </c>
      <c r="CX48" s="625">
        <f t="shared" si="32"/>
        <v>211.25</v>
      </c>
      <c r="CY48" s="623">
        <f t="shared" si="33"/>
        <v>195</v>
      </c>
      <c r="CZ48" s="624" t="str">
        <f t="shared" si="34"/>
        <v>A</v>
      </c>
      <c r="DA48" s="634">
        <f t="shared" si="35"/>
        <v>150</v>
      </c>
      <c r="DB48" s="591">
        <f t="shared" si="36"/>
        <v>11341000</v>
      </c>
      <c r="DC48" s="591">
        <f t="shared" si="37"/>
        <v>187.5</v>
      </c>
      <c r="DD48" s="591">
        <v>15000</v>
      </c>
      <c r="DI48" s="54">
        <v>1.6875</v>
      </c>
      <c r="DJ48" s="54">
        <v>6.25</v>
      </c>
      <c r="DK48" s="649">
        <f t="shared" si="38"/>
        <v>11.635866</v>
      </c>
    </row>
    <row r="49" spans="1:115" s="54" customFormat="1" ht="12.75">
      <c r="A49" s="24" t="s">
        <v>875</v>
      </c>
      <c r="B49" s="69" t="s">
        <v>875</v>
      </c>
      <c r="C49" s="315" t="s">
        <v>1042</v>
      </c>
      <c r="D49" s="670" t="s">
        <v>214</v>
      </c>
      <c r="E49" s="374" t="s">
        <v>878</v>
      </c>
      <c r="F49" s="15"/>
      <c r="G49" s="18"/>
      <c r="H49" s="17"/>
      <c r="I49" s="323"/>
      <c r="J49" s="324"/>
      <c r="K49" s="188">
        <v>3</v>
      </c>
      <c r="L49" s="867"/>
      <c r="M49" s="895"/>
      <c r="N49" s="106">
        <v>400</v>
      </c>
      <c r="O49" s="455"/>
      <c r="P49" s="531"/>
      <c r="Q49" s="340">
        <v>1856</v>
      </c>
      <c r="R49" s="341"/>
      <c r="S49" s="358"/>
      <c r="T49" s="342">
        <v>5341</v>
      </c>
      <c r="U49" s="343">
        <v>115000</v>
      </c>
      <c r="V49" s="344">
        <v>5000</v>
      </c>
      <c r="W49" s="289">
        <v>0.44</v>
      </c>
      <c r="X49" s="148">
        <v>100</v>
      </c>
      <c r="Y49" s="43"/>
      <c r="Z49" s="44"/>
      <c r="AA49" s="44"/>
      <c r="AB49" s="49"/>
      <c r="AC49" s="345">
        <v>100</v>
      </c>
      <c r="AD49" s="312">
        <v>10</v>
      </c>
      <c r="AE49" s="292"/>
      <c r="AF49" s="46"/>
      <c r="AG49" s="48"/>
      <c r="AH49" s="48"/>
      <c r="AI49" s="47"/>
      <c r="AJ49" s="5"/>
      <c r="AK49" s="727"/>
      <c r="AL49" s="862">
        <v>100</v>
      </c>
      <c r="AM49" s="458">
        <v>10</v>
      </c>
      <c r="AN49" s="295"/>
      <c r="AO49" s="145"/>
      <c r="AP49" s="85" t="s">
        <v>1267</v>
      </c>
      <c r="AQ49" s="677"/>
      <c r="AR49" s="56"/>
      <c r="AS49" s="34"/>
      <c r="AT49" s="34"/>
      <c r="AU49" s="73"/>
      <c r="AV49" s="39">
        <v>100</v>
      </c>
      <c r="AW49" s="143">
        <v>10</v>
      </c>
      <c r="AX49" s="33"/>
      <c r="AY49" s="34"/>
      <c r="AZ49" s="34"/>
      <c r="BA49" s="84"/>
      <c r="BB49" s="748">
        <v>3</v>
      </c>
      <c r="BC49" s="590"/>
      <c r="BD49" s="588"/>
      <c r="BE49" s="299"/>
      <c r="BF49" s="300"/>
      <c r="BG49" s="112"/>
      <c r="BH49" s="541"/>
      <c r="BI49" s="301"/>
      <c r="BJ49" s="655" t="s">
        <v>870</v>
      </c>
      <c r="BK49" s="13"/>
      <c r="BL49" s="303" t="s">
        <v>1531</v>
      </c>
      <c r="BM49" s="86"/>
      <c r="BN49" s="303" t="s">
        <v>104</v>
      </c>
      <c r="BO49" s="86"/>
      <c r="BP49" s="656"/>
      <c r="BQ49" s="576"/>
      <c r="BR49" s="444"/>
      <c r="BS49" s="365"/>
      <c r="BT49" s="365"/>
      <c r="BU49" s="365"/>
      <c r="BV49" s="580"/>
      <c r="BW49" s="366"/>
      <c r="BX49"/>
      <c r="BY49"/>
      <c r="BZ49" s="608">
        <v>280</v>
      </c>
      <c r="CA49" s="21"/>
      <c r="CB49" s="605"/>
      <c r="CC49" s="610"/>
      <c r="CD49" s="601"/>
      <c r="CE49" s="329">
        <f t="shared" si="3"/>
        <v>0</v>
      </c>
      <c r="CF49" s="329">
        <f t="shared" si="23"/>
      </c>
      <c r="CG49" s="329">
        <f t="shared" si="24"/>
      </c>
      <c r="CH49" s="329">
        <f t="shared" si="25"/>
      </c>
      <c r="CI49" s="329">
        <f t="shared" si="26"/>
      </c>
      <c r="CJ49" s="329">
        <f t="shared" si="27"/>
      </c>
      <c r="CK49" s="329">
        <f t="shared" si="28"/>
      </c>
      <c r="CL49" s="329">
        <f t="shared" si="29"/>
      </c>
      <c r="CM49" s="485" t="s">
        <v>867</v>
      </c>
      <c r="CN49" s="724" t="s">
        <v>871</v>
      </c>
      <c r="CO49" s="440"/>
      <c r="CP49" s="392"/>
      <c r="CQ49" s="392"/>
      <c r="CR49" s="393"/>
      <c r="CS49" s="834"/>
      <c r="CT49" s="592"/>
      <c r="CU49" s="21" t="e">
        <f t="shared" si="30"/>
        <v>#DIV/0!</v>
      </c>
      <c r="CV49" s="21" t="e">
        <f t="shared" si="31"/>
        <v>#DIV/0!</v>
      </c>
      <c r="CX49" s="625">
        <f t="shared" si="32"/>
        <v>0</v>
      </c>
      <c r="CY49" s="626">
        <f t="shared" si="33"/>
        <v>0</v>
      </c>
      <c r="CZ49" s="624">
        <f t="shared" si="34"/>
        <v>0</v>
      </c>
      <c r="DA49" s="634">
        <f t="shared" si="35"/>
        <v>10</v>
      </c>
      <c r="DB49" s="591">
        <f t="shared" si="36"/>
        <v>5341000</v>
      </c>
      <c r="DC49" s="591">
        <f t="shared" si="37"/>
        <v>12.5</v>
      </c>
      <c r="DD49" s="591">
        <v>15000</v>
      </c>
      <c r="DI49" s="54">
        <v>1.6875</v>
      </c>
      <c r="DJ49" s="54">
        <v>6.25</v>
      </c>
      <c r="DK49" s="649">
        <f t="shared" si="38"/>
        <v>2.35004</v>
      </c>
    </row>
    <row r="50" spans="1:115" s="54" customFormat="1" ht="12.75">
      <c r="A50" s="24" t="s">
        <v>360</v>
      </c>
      <c r="B50" s="69"/>
      <c r="C50" s="315" t="s">
        <v>1042</v>
      </c>
      <c r="D50" s="670"/>
      <c r="E50" s="374" t="s">
        <v>1688</v>
      </c>
      <c r="F50" s="15">
        <v>1</v>
      </c>
      <c r="G50" s="18"/>
      <c r="H50" s="732">
        <v>1</v>
      </c>
      <c r="I50" s="323"/>
      <c r="J50" s="324"/>
      <c r="K50" s="188"/>
      <c r="L50" s="867"/>
      <c r="M50" s="895"/>
      <c r="N50" s="106"/>
      <c r="O50" s="455"/>
      <c r="P50" s="531"/>
      <c r="Q50" s="340"/>
      <c r="R50" s="341">
        <v>320</v>
      </c>
      <c r="S50" s="358"/>
      <c r="T50" s="342">
        <v>1400</v>
      </c>
      <c r="U50" s="343"/>
      <c r="V50" s="344">
        <v>40</v>
      </c>
      <c r="W50" s="289"/>
      <c r="X50" s="148">
        <v>3200</v>
      </c>
      <c r="Y50" s="729">
        <v>50</v>
      </c>
      <c r="Z50" s="730">
        <v>10</v>
      </c>
      <c r="AA50" s="730">
        <v>83.75</v>
      </c>
      <c r="AB50" s="731">
        <v>67.5</v>
      </c>
      <c r="AC50" s="345">
        <v>2100</v>
      </c>
      <c r="AD50" s="312">
        <v>1620</v>
      </c>
      <c r="AE50" s="292"/>
      <c r="AF50" s="46">
        <v>0</v>
      </c>
      <c r="AG50" s="48">
        <v>50</v>
      </c>
      <c r="AH50" s="48">
        <v>85</v>
      </c>
      <c r="AI50" s="47">
        <v>60</v>
      </c>
      <c r="AJ50" s="5"/>
      <c r="AK50" s="727"/>
      <c r="AL50" s="862"/>
      <c r="AM50" s="458"/>
      <c r="AN50" s="295"/>
      <c r="AO50" s="145"/>
      <c r="AP50" s="85"/>
      <c r="AQ50" s="677"/>
      <c r="AR50" s="56"/>
      <c r="AS50" s="34"/>
      <c r="AT50" s="34"/>
      <c r="AU50" s="73"/>
      <c r="AV50" s="39">
        <v>176</v>
      </c>
      <c r="AW50" s="143"/>
      <c r="AX50" s="33"/>
      <c r="AY50" s="34"/>
      <c r="AZ50" s="34"/>
      <c r="BA50" s="84"/>
      <c r="BB50" s="748"/>
      <c r="BC50" s="590"/>
      <c r="BD50" s="588"/>
      <c r="BE50" s="299"/>
      <c r="BF50" s="300"/>
      <c r="BG50" s="112"/>
      <c r="BH50" s="541"/>
      <c r="BI50" s="301">
        <v>1</v>
      </c>
      <c r="BJ50" s="655" t="s">
        <v>870</v>
      </c>
      <c r="BK50" s="36" t="s">
        <v>1560</v>
      </c>
      <c r="BL50" s="303" t="s">
        <v>1532</v>
      </c>
      <c r="BM50" s="86" t="s">
        <v>1815</v>
      </c>
      <c r="BN50" s="303" t="s">
        <v>104</v>
      </c>
      <c r="BO50" s="86"/>
      <c r="BP50" s="656"/>
      <c r="BQ50" s="576"/>
      <c r="BR50" s="444"/>
      <c r="BS50" s="365"/>
      <c r="BT50" s="365"/>
      <c r="BU50" s="365"/>
      <c r="BV50" s="580"/>
      <c r="BW50" s="366"/>
      <c r="BX50"/>
      <c r="BY50"/>
      <c r="BZ50" s="1"/>
      <c r="CA50" s="21"/>
      <c r="CB50" s="605"/>
      <c r="CC50" s="610"/>
      <c r="CD50" s="601"/>
      <c r="CE50" s="329">
        <f t="shared" si="3"/>
        <v>320</v>
      </c>
      <c r="CF50" s="329">
        <f t="shared" si="23"/>
        <v>408</v>
      </c>
      <c r="CG50" s="329">
        <f t="shared" si="24"/>
      </c>
      <c r="CH50" s="329">
        <f t="shared" si="25"/>
      </c>
      <c r="CI50" s="329">
        <f t="shared" si="26"/>
      </c>
      <c r="CJ50" s="329">
        <f t="shared" si="27"/>
      </c>
      <c r="CK50" s="329">
        <f t="shared" si="28"/>
      </c>
      <c r="CL50" s="329">
        <f t="shared" si="29"/>
      </c>
      <c r="CM50" s="485" t="s">
        <v>867</v>
      </c>
      <c r="CN50" s="724" t="s">
        <v>871</v>
      </c>
      <c r="CO50" s="440"/>
      <c r="CP50" s="392"/>
      <c r="CQ50" s="392"/>
      <c r="CR50" s="393"/>
      <c r="CS50" s="834"/>
      <c r="CT50" s="592"/>
      <c r="CU50" s="21" t="e">
        <f t="shared" si="30"/>
        <v>#DIV/0!</v>
      </c>
      <c r="CV50" s="21" t="e">
        <f t="shared" si="31"/>
        <v>#DIV/0!</v>
      </c>
      <c r="CX50" s="625">
        <f t="shared" si="32"/>
        <v>211.25</v>
      </c>
      <c r="CY50" s="626">
        <f t="shared" si="33"/>
        <v>195</v>
      </c>
      <c r="CZ50" s="624">
        <f t="shared" si="34"/>
        <v>0</v>
      </c>
      <c r="DA50" s="634">
        <f t="shared" si="35"/>
        <v>0</v>
      </c>
      <c r="DB50" s="591">
        <f t="shared" si="36"/>
        <v>1400000</v>
      </c>
      <c r="DC50" s="591">
        <f t="shared" si="37"/>
        <v>0</v>
      </c>
      <c r="DD50" s="591">
        <v>15000</v>
      </c>
      <c r="DI50" s="54">
        <v>1.6875</v>
      </c>
      <c r="DJ50" s="54">
        <v>6.25</v>
      </c>
      <c r="DK50" s="649">
        <f t="shared" si="38"/>
        <v>0</v>
      </c>
    </row>
    <row r="51" spans="1:115" s="54" customFormat="1" ht="12.75">
      <c r="A51" s="24" t="s">
        <v>1533</v>
      </c>
      <c r="B51" s="69"/>
      <c r="C51" s="315" t="s">
        <v>1042</v>
      </c>
      <c r="D51" s="670" t="s">
        <v>214</v>
      </c>
      <c r="E51" s="374" t="s">
        <v>1688</v>
      </c>
      <c r="F51" s="15">
        <v>2</v>
      </c>
      <c r="G51" s="18"/>
      <c r="H51" s="17"/>
      <c r="I51" s="323"/>
      <c r="J51" s="324"/>
      <c r="K51" s="188"/>
      <c r="L51" s="867"/>
      <c r="M51" s="895"/>
      <c r="N51" s="106"/>
      <c r="O51" s="455"/>
      <c r="P51" s="531"/>
      <c r="Q51" s="340"/>
      <c r="R51" s="98">
        <v>280</v>
      </c>
      <c r="S51" s="326"/>
      <c r="T51" s="342">
        <v>1400</v>
      </c>
      <c r="U51" s="343"/>
      <c r="V51" s="344">
        <v>40</v>
      </c>
      <c r="W51" s="289"/>
      <c r="X51" s="919">
        <v>3650</v>
      </c>
      <c r="Y51" s="43">
        <v>50</v>
      </c>
      <c r="Z51" s="44">
        <v>10</v>
      </c>
      <c r="AA51" s="44">
        <v>83.75</v>
      </c>
      <c r="AB51" s="49">
        <v>67.5</v>
      </c>
      <c r="AC51" s="345">
        <v>2400</v>
      </c>
      <c r="AD51" s="312">
        <v>1620</v>
      </c>
      <c r="AE51" s="292"/>
      <c r="AF51" s="46">
        <v>0</v>
      </c>
      <c r="AG51" s="48">
        <v>50</v>
      </c>
      <c r="AH51" s="48">
        <v>85</v>
      </c>
      <c r="AI51" s="47">
        <v>60</v>
      </c>
      <c r="AJ51" s="5"/>
      <c r="AK51" s="727"/>
      <c r="AL51" s="862"/>
      <c r="AM51" s="458"/>
      <c r="AN51" s="295"/>
      <c r="AO51" s="145"/>
      <c r="AP51" s="85"/>
      <c r="AQ51" s="677"/>
      <c r="AR51" s="56"/>
      <c r="AS51" s="34"/>
      <c r="AT51" s="34"/>
      <c r="AU51" s="73"/>
      <c r="AV51" s="39">
        <v>168</v>
      </c>
      <c r="AW51" s="143"/>
      <c r="AX51" s="33"/>
      <c r="AY51" s="34"/>
      <c r="AZ51" s="34"/>
      <c r="BA51" s="84"/>
      <c r="BB51" s="748"/>
      <c r="BC51" s="590"/>
      <c r="BD51" s="588"/>
      <c r="BE51" s="299"/>
      <c r="BF51" s="300"/>
      <c r="BG51" s="112"/>
      <c r="BH51" s="541"/>
      <c r="BI51" s="301">
        <v>3</v>
      </c>
      <c r="BJ51" s="655" t="s">
        <v>870</v>
      </c>
      <c r="BK51" s="36" t="s">
        <v>755</v>
      </c>
      <c r="BL51" s="303" t="s">
        <v>1534</v>
      </c>
      <c r="BM51" s="86" t="s">
        <v>1816</v>
      </c>
      <c r="BN51" s="303" t="s">
        <v>104</v>
      </c>
      <c r="BO51" s="86"/>
      <c r="BP51" s="656"/>
      <c r="BQ51" s="576"/>
      <c r="BR51" s="444"/>
      <c r="BS51" s="365"/>
      <c r="BT51" s="365"/>
      <c r="BU51" s="365"/>
      <c r="BV51" s="580"/>
      <c r="BW51" s="366"/>
      <c r="BX51"/>
      <c r="BY51"/>
      <c r="BZ51" s="1"/>
      <c r="CA51" s="21"/>
      <c r="CB51" s="605"/>
      <c r="CC51" s="600"/>
      <c r="CD51" s="601"/>
      <c r="CE51" s="329">
        <f t="shared" si="3"/>
        <v>280</v>
      </c>
      <c r="CF51" s="329">
        <f t="shared" si="23"/>
        <v>357</v>
      </c>
      <c r="CG51" s="329">
        <f t="shared" si="24"/>
        <v>455.17499999999995</v>
      </c>
      <c r="CH51" s="329">
        <f t="shared" si="25"/>
      </c>
      <c r="CI51" s="329">
        <f t="shared" si="26"/>
      </c>
      <c r="CJ51" s="329">
        <f t="shared" si="27"/>
      </c>
      <c r="CK51" s="329">
        <f t="shared" si="28"/>
      </c>
      <c r="CL51" s="329">
        <f t="shared" si="29"/>
      </c>
      <c r="CM51" s="485" t="s">
        <v>273</v>
      </c>
      <c r="CN51" s="724" t="s">
        <v>871</v>
      </c>
      <c r="CO51" s="440" t="s">
        <v>1574</v>
      </c>
      <c r="CP51" s="392"/>
      <c r="CQ51" s="392"/>
      <c r="CR51" s="393"/>
      <c r="CS51" s="834"/>
      <c r="CT51" s="592"/>
      <c r="CU51" s="21" t="e">
        <f t="shared" si="30"/>
        <v>#DIV/0!</v>
      </c>
      <c r="CV51" s="21" t="e">
        <f t="shared" si="31"/>
        <v>#DIV/0!</v>
      </c>
      <c r="CX51" s="625">
        <f t="shared" si="32"/>
        <v>211.25</v>
      </c>
      <c r="CY51" s="623">
        <f t="shared" si="33"/>
        <v>195</v>
      </c>
      <c r="CZ51" s="624">
        <f t="shared" si="34"/>
        <v>0</v>
      </c>
      <c r="DA51" s="634">
        <f t="shared" si="35"/>
        <v>0</v>
      </c>
      <c r="DB51" s="591">
        <f t="shared" si="36"/>
        <v>1400000</v>
      </c>
      <c r="DC51" s="591">
        <f t="shared" si="37"/>
        <v>0</v>
      </c>
      <c r="DD51" s="591">
        <v>15000</v>
      </c>
      <c r="DI51" s="54">
        <v>1.6875</v>
      </c>
      <c r="DJ51" s="54">
        <v>6.25</v>
      </c>
      <c r="DK51" s="649">
        <f t="shared" si="38"/>
        <v>0</v>
      </c>
    </row>
    <row r="52" spans="1:115" s="54" customFormat="1" ht="12.75">
      <c r="A52" s="24" t="s">
        <v>789</v>
      </c>
      <c r="B52" s="69"/>
      <c r="C52" s="315" t="s">
        <v>1042</v>
      </c>
      <c r="D52" s="670"/>
      <c r="E52" s="374" t="s">
        <v>1688</v>
      </c>
      <c r="F52" s="15">
        <v>2</v>
      </c>
      <c r="G52" s="18"/>
      <c r="H52" s="17"/>
      <c r="I52" s="323"/>
      <c r="J52" s="324"/>
      <c r="K52" s="188"/>
      <c r="L52" s="867"/>
      <c r="M52" s="895"/>
      <c r="N52" s="106"/>
      <c r="O52" s="455"/>
      <c r="P52" s="531"/>
      <c r="Q52" s="340"/>
      <c r="R52" s="98">
        <v>300</v>
      </c>
      <c r="S52" s="326"/>
      <c r="T52" s="342">
        <v>1400</v>
      </c>
      <c r="U52" s="343"/>
      <c r="V52" s="344">
        <v>40</v>
      </c>
      <c r="W52" s="289"/>
      <c r="X52" s="920">
        <v>3500</v>
      </c>
      <c r="Y52" s="43">
        <v>50</v>
      </c>
      <c r="Z52" s="44">
        <v>10</v>
      </c>
      <c r="AA52" s="44">
        <v>83.75</v>
      </c>
      <c r="AB52" s="49">
        <v>67.5</v>
      </c>
      <c r="AC52" s="345">
        <v>2300</v>
      </c>
      <c r="AD52" s="312">
        <v>1620</v>
      </c>
      <c r="AE52" s="292"/>
      <c r="AF52" s="46">
        <v>0</v>
      </c>
      <c r="AG52" s="48">
        <v>50</v>
      </c>
      <c r="AH52" s="48">
        <v>85</v>
      </c>
      <c r="AI52" s="47">
        <v>60</v>
      </c>
      <c r="AJ52" s="5"/>
      <c r="AK52" s="727"/>
      <c r="AL52" s="862"/>
      <c r="AM52" s="458"/>
      <c r="AN52" s="295"/>
      <c r="AO52" s="145"/>
      <c r="AP52" s="85"/>
      <c r="AQ52" s="677"/>
      <c r="AR52" s="56"/>
      <c r="AS52" s="34"/>
      <c r="AT52" s="34"/>
      <c r="AU52" s="73"/>
      <c r="AV52" s="39">
        <v>160</v>
      </c>
      <c r="AW52" s="143"/>
      <c r="AX52" s="33"/>
      <c r="AY52" s="34"/>
      <c r="AZ52" s="34"/>
      <c r="BA52" s="84"/>
      <c r="BB52" s="748"/>
      <c r="BC52" s="590"/>
      <c r="BD52" s="588"/>
      <c r="BE52" s="299"/>
      <c r="BF52" s="300"/>
      <c r="BG52" s="112"/>
      <c r="BH52" s="541"/>
      <c r="BI52" s="301">
        <v>2</v>
      </c>
      <c r="BJ52" s="655" t="s">
        <v>870</v>
      </c>
      <c r="BK52" s="36" t="s">
        <v>755</v>
      </c>
      <c r="BL52" s="303" t="s">
        <v>809</v>
      </c>
      <c r="BM52" s="86" t="s">
        <v>1498</v>
      </c>
      <c r="BN52" s="303" t="s">
        <v>104</v>
      </c>
      <c r="BO52" s="86"/>
      <c r="BP52" s="656"/>
      <c r="BQ52" s="576"/>
      <c r="BR52" s="444"/>
      <c r="BS52" s="365"/>
      <c r="BT52" s="365"/>
      <c r="BU52" s="365"/>
      <c r="BV52" s="580"/>
      <c r="BW52" s="366"/>
      <c r="BX52"/>
      <c r="BY52"/>
      <c r="BZ52" s="1"/>
      <c r="CA52" s="21"/>
      <c r="CB52" s="605"/>
      <c r="CC52" s="600"/>
      <c r="CD52" s="601"/>
      <c r="CE52" s="329">
        <f t="shared" si="3"/>
        <v>300</v>
      </c>
      <c r="CF52" s="329">
        <f t="shared" si="23"/>
        <v>382.5</v>
      </c>
      <c r="CG52" s="329">
        <f t="shared" si="24"/>
        <v>487.68749999999994</v>
      </c>
      <c r="CH52" s="329">
        <f t="shared" si="25"/>
      </c>
      <c r="CI52" s="329">
        <f t="shared" si="26"/>
      </c>
      <c r="CJ52" s="329">
        <f t="shared" si="27"/>
      </c>
      <c r="CK52" s="329">
        <f t="shared" si="28"/>
      </c>
      <c r="CL52" s="329">
        <f t="shared" si="29"/>
      </c>
      <c r="CM52" s="485" t="s">
        <v>1006</v>
      </c>
      <c r="CN52" s="724" t="s">
        <v>871</v>
      </c>
      <c r="CO52" s="440"/>
      <c r="CP52" s="392"/>
      <c r="CQ52" s="392"/>
      <c r="CR52" s="393"/>
      <c r="CS52" s="834"/>
      <c r="CT52" s="592"/>
      <c r="CU52" s="21" t="e">
        <f t="shared" si="30"/>
        <v>#DIV/0!</v>
      </c>
      <c r="CV52" s="21" t="e">
        <f t="shared" si="31"/>
        <v>#DIV/0!</v>
      </c>
      <c r="CX52" s="625">
        <f t="shared" si="32"/>
        <v>211.25</v>
      </c>
      <c r="CY52" s="626">
        <f t="shared" si="33"/>
        <v>195</v>
      </c>
      <c r="CZ52" s="624">
        <f t="shared" si="34"/>
        <v>0</v>
      </c>
      <c r="DA52" s="634">
        <f t="shared" si="35"/>
        <v>0</v>
      </c>
      <c r="DB52" s="591">
        <f t="shared" si="36"/>
        <v>1400000</v>
      </c>
      <c r="DC52" s="591">
        <f t="shared" si="37"/>
        <v>0</v>
      </c>
      <c r="DD52" s="591">
        <v>15000</v>
      </c>
      <c r="DI52" s="54">
        <v>1.6875</v>
      </c>
      <c r="DJ52" s="54">
        <v>6.25</v>
      </c>
      <c r="DK52" s="649">
        <f t="shared" si="38"/>
        <v>0</v>
      </c>
    </row>
    <row r="53" spans="1:115" s="54" customFormat="1" ht="12.75">
      <c r="A53" s="24" t="s">
        <v>707</v>
      </c>
      <c r="B53" s="69"/>
      <c r="C53" s="315" t="s">
        <v>1042</v>
      </c>
      <c r="D53" s="670"/>
      <c r="E53" s="374" t="s">
        <v>1688</v>
      </c>
      <c r="F53" s="15">
        <v>1</v>
      </c>
      <c r="G53" s="18"/>
      <c r="H53" s="732">
        <v>1</v>
      </c>
      <c r="I53" s="323"/>
      <c r="J53" s="324"/>
      <c r="K53" s="188"/>
      <c r="L53" s="867"/>
      <c r="M53" s="895"/>
      <c r="N53" s="106"/>
      <c r="O53" s="455"/>
      <c r="P53" s="531"/>
      <c r="Q53" s="340"/>
      <c r="R53" s="98">
        <v>220</v>
      </c>
      <c r="S53" s="326"/>
      <c r="T53" s="342">
        <v>1400</v>
      </c>
      <c r="U53" s="343"/>
      <c r="V53" s="344">
        <v>40</v>
      </c>
      <c r="W53" s="289"/>
      <c r="X53" s="148">
        <v>3200</v>
      </c>
      <c r="Y53" s="43">
        <v>50</v>
      </c>
      <c r="Z53" s="44">
        <v>10</v>
      </c>
      <c r="AA53" s="44">
        <v>83.75</v>
      </c>
      <c r="AB53" s="49">
        <v>67.5</v>
      </c>
      <c r="AC53" s="345">
        <v>2100</v>
      </c>
      <c r="AD53" s="312">
        <v>1620</v>
      </c>
      <c r="AE53" s="292"/>
      <c r="AF53" s="46">
        <v>0</v>
      </c>
      <c r="AG53" s="48">
        <v>50</v>
      </c>
      <c r="AH53" s="48">
        <v>85</v>
      </c>
      <c r="AI53" s="47">
        <v>60</v>
      </c>
      <c r="AJ53" s="5"/>
      <c r="AK53" s="727"/>
      <c r="AL53" s="862"/>
      <c r="AM53" s="458"/>
      <c r="AN53" s="295"/>
      <c r="AO53" s="145"/>
      <c r="AP53" s="85"/>
      <c r="AQ53" s="677"/>
      <c r="AR53" s="56"/>
      <c r="AS53" s="34"/>
      <c r="AT53" s="34"/>
      <c r="AU53" s="73"/>
      <c r="AV53" s="39">
        <v>160</v>
      </c>
      <c r="AW53" s="143"/>
      <c r="AX53" s="33"/>
      <c r="AY53" s="34"/>
      <c r="AZ53" s="34"/>
      <c r="BA53" s="84"/>
      <c r="BB53" s="748"/>
      <c r="BC53" s="590"/>
      <c r="BD53" s="588"/>
      <c r="BE53" s="299"/>
      <c r="BF53" s="300"/>
      <c r="BG53" s="112"/>
      <c r="BH53" s="541"/>
      <c r="BI53" s="301">
        <v>4</v>
      </c>
      <c r="BJ53" s="655" t="s">
        <v>870</v>
      </c>
      <c r="BK53" s="36" t="s">
        <v>64</v>
      </c>
      <c r="BL53" s="303" t="s">
        <v>1499</v>
      </c>
      <c r="BM53" s="86" t="s">
        <v>1073</v>
      </c>
      <c r="BN53" s="303" t="s">
        <v>104</v>
      </c>
      <c r="BO53" s="86"/>
      <c r="BP53" s="656"/>
      <c r="BQ53" s="576"/>
      <c r="BR53" s="444"/>
      <c r="BS53" s="365"/>
      <c r="BT53" s="365"/>
      <c r="BU53" s="365"/>
      <c r="BV53" s="580"/>
      <c r="BW53" s="366"/>
      <c r="BX53"/>
      <c r="BY53"/>
      <c r="BZ53" s="1"/>
      <c r="CA53" s="21"/>
      <c r="CB53" s="605"/>
      <c r="CC53" s="600"/>
      <c r="CD53" s="601"/>
      <c r="CE53" s="329">
        <f t="shared" si="3"/>
        <v>220</v>
      </c>
      <c r="CF53" s="329">
        <f t="shared" si="23"/>
        <v>280.5</v>
      </c>
      <c r="CG53" s="329">
        <f t="shared" si="24"/>
      </c>
      <c r="CH53" s="329">
        <f t="shared" si="25"/>
      </c>
      <c r="CI53" s="329">
        <f t="shared" si="26"/>
      </c>
      <c r="CJ53" s="329">
        <f t="shared" si="27"/>
      </c>
      <c r="CK53" s="329">
        <f t="shared" si="28"/>
      </c>
      <c r="CL53" s="329">
        <f t="shared" si="29"/>
      </c>
      <c r="CM53" s="485" t="s">
        <v>1006</v>
      </c>
      <c r="CN53" s="724" t="s">
        <v>871</v>
      </c>
      <c r="CO53" s="440"/>
      <c r="CP53" s="392"/>
      <c r="CQ53" s="392"/>
      <c r="CR53" s="393"/>
      <c r="CS53" s="834"/>
      <c r="CT53" s="592"/>
      <c r="CU53" s="21" t="e">
        <f t="shared" si="30"/>
        <v>#DIV/0!</v>
      </c>
      <c r="CV53" s="21" t="e">
        <f t="shared" si="31"/>
        <v>#DIV/0!</v>
      </c>
      <c r="CX53" s="625">
        <f t="shared" si="32"/>
        <v>211.25</v>
      </c>
      <c r="CY53" s="626">
        <f t="shared" si="33"/>
        <v>195</v>
      </c>
      <c r="CZ53" s="624">
        <f t="shared" si="34"/>
        <v>0</v>
      </c>
      <c r="DA53" s="634">
        <f t="shared" si="35"/>
        <v>0</v>
      </c>
      <c r="DB53" s="591">
        <f t="shared" si="36"/>
        <v>1400000</v>
      </c>
      <c r="DC53" s="591">
        <f t="shared" si="37"/>
        <v>0</v>
      </c>
      <c r="DD53" s="591">
        <v>15000</v>
      </c>
      <c r="DI53" s="54">
        <v>1.6875</v>
      </c>
      <c r="DJ53" s="54">
        <v>6.25</v>
      </c>
      <c r="DK53" s="649">
        <f t="shared" si="38"/>
        <v>0</v>
      </c>
    </row>
    <row r="54" spans="1:115" s="54" customFormat="1" ht="12.75">
      <c r="A54" s="24" t="s">
        <v>366</v>
      </c>
      <c r="B54" s="69"/>
      <c r="C54" s="315" t="s">
        <v>1042</v>
      </c>
      <c r="D54" s="670"/>
      <c r="E54" s="374" t="s">
        <v>1689</v>
      </c>
      <c r="F54" s="15">
        <v>1</v>
      </c>
      <c r="G54" s="18">
        <v>3</v>
      </c>
      <c r="H54" s="17"/>
      <c r="I54" s="323"/>
      <c r="J54" s="324"/>
      <c r="K54" s="188"/>
      <c r="L54" s="869">
        <v>360</v>
      </c>
      <c r="M54" s="895"/>
      <c r="N54" s="106"/>
      <c r="O54" s="455"/>
      <c r="P54" s="531"/>
      <c r="Q54" s="340"/>
      <c r="R54" s="341"/>
      <c r="S54" s="358"/>
      <c r="T54" s="342">
        <v>1200</v>
      </c>
      <c r="U54" s="343"/>
      <c r="V54" s="344">
        <v>40</v>
      </c>
      <c r="W54" s="289"/>
      <c r="X54" s="148"/>
      <c r="Y54" s="43"/>
      <c r="Z54" s="44"/>
      <c r="AA54" s="44"/>
      <c r="AB54" s="49"/>
      <c r="AC54" s="345"/>
      <c r="AD54" s="312"/>
      <c r="AE54" s="292"/>
      <c r="AF54" s="46"/>
      <c r="AG54" s="48"/>
      <c r="AH54" s="48"/>
      <c r="AI54" s="47"/>
      <c r="AJ54" s="5"/>
      <c r="AK54" s="727"/>
      <c r="AL54" s="862"/>
      <c r="AM54" s="458"/>
      <c r="AN54" s="295"/>
      <c r="AO54" s="145">
        <v>65</v>
      </c>
      <c r="AP54" s="85"/>
      <c r="AQ54" s="677">
        <v>225</v>
      </c>
      <c r="AR54" s="56"/>
      <c r="AS54" s="34"/>
      <c r="AT54" s="34">
        <v>17</v>
      </c>
      <c r="AU54" s="73"/>
      <c r="AV54" s="39"/>
      <c r="AW54" s="143"/>
      <c r="AX54" s="33"/>
      <c r="AY54" s="34"/>
      <c r="AZ54" s="34"/>
      <c r="BA54" s="84"/>
      <c r="BB54" s="748"/>
      <c r="BC54" s="590"/>
      <c r="BD54" s="588"/>
      <c r="BE54" s="299"/>
      <c r="BF54" s="300"/>
      <c r="BG54" s="112"/>
      <c r="BH54" s="541"/>
      <c r="BI54" s="301">
        <v>3</v>
      </c>
      <c r="BJ54" s="655" t="s">
        <v>870</v>
      </c>
      <c r="BK54" s="36" t="s">
        <v>828</v>
      </c>
      <c r="BL54" s="303" t="s">
        <v>1535</v>
      </c>
      <c r="BM54" s="86" t="s">
        <v>1674</v>
      </c>
      <c r="BN54" s="303" t="s">
        <v>104</v>
      </c>
      <c r="BO54" s="86"/>
      <c r="BP54" s="656"/>
      <c r="BQ54" s="576"/>
      <c r="BR54" s="444"/>
      <c r="BS54" s="365"/>
      <c r="BT54" s="365"/>
      <c r="BU54" s="365"/>
      <c r="BV54" s="580"/>
      <c r="BW54" s="366"/>
      <c r="BX54"/>
      <c r="BY54"/>
      <c r="BZ54" s="1"/>
      <c r="CA54" s="21"/>
      <c r="CB54" s="605"/>
      <c r="CC54" s="610"/>
      <c r="CD54" s="601"/>
      <c r="CE54" s="329">
        <f t="shared" si="3"/>
        <v>0</v>
      </c>
      <c r="CF54" s="329">
        <f t="shared" si="23"/>
        <v>0</v>
      </c>
      <c r="CG54" s="329">
        <f t="shared" si="24"/>
      </c>
      <c r="CH54" s="329">
        <f t="shared" si="25"/>
      </c>
      <c r="CI54" s="329">
        <f t="shared" si="26"/>
      </c>
      <c r="CJ54" s="329">
        <f t="shared" si="27"/>
      </c>
      <c r="CK54" s="329">
        <f t="shared" si="28"/>
      </c>
      <c r="CL54" s="329">
        <f t="shared" si="29"/>
      </c>
      <c r="CM54" s="485" t="s">
        <v>867</v>
      </c>
      <c r="CN54" s="724" t="s">
        <v>871</v>
      </c>
      <c r="CO54" s="440"/>
      <c r="CP54" s="392"/>
      <c r="CQ54" s="392"/>
      <c r="CR54" s="393"/>
      <c r="CS54" s="834"/>
      <c r="CT54" s="592"/>
      <c r="CU54" s="21" t="e">
        <f t="shared" si="30"/>
        <v>#DIV/0!</v>
      </c>
      <c r="CV54" s="21" t="e">
        <f t="shared" si="31"/>
        <v>#DIV/0!</v>
      </c>
      <c r="CX54" s="625">
        <f t="shared" si="32"/>
        <v>0</v>
      </c>
      <c r="CY54" s="626">
        <f t="shared" si="33"/>
        <v>0</v>
      </c>
      <c r="CZ54" s="624">
        <f t="shared" si="34"/>
        <v>0</v>
      </c>
      <c r="DA54" s="634">
        <f t="shared" si="35"/>
        <v>0</v>
      </c>
      <c r="DB54" s="591">
        <f t="shared" si="36"/>
        <v>1200000</v>
      </c>
      <c r="DC54" s="591">
        <f t="shared" si="37"/>
        <v>0</v>
      </c>
      <c r="DD54" s="591">
        <v>15000</v>
      </c>
      <c r="DI54" s="54">
        <v>1.6875</v>
      </c>
      <c r="DJ54" s="54">
        <v>6.25</v>
      </c>
      <c r="DK54" s="649">
        <f t="shared" si="38"/>
        <v>0</v>
      </c>
    </row>
    <row r="55" spans="1:115" s="54" customFormat="1" ht="12.75">
      <c r="A55" s="24" t="s">
        <v>790</v>
      </c>
      <c r="B55" s="69"/>
      <c r="C55" s="315" t="s">
        <v>1042</v>
      </c>
      <c r="D55" s="670"/>
      <c r="E55" s="374" t="s">
        <v>1689</v>
      </c>
      <c r="F55" s="15">
        <v>1</v>
      </c>
      <c r="G55" s="18">
        <v>3</v>
      </c>
      <c r="H55" s="17"/>
      <c r="I55" s="323"/>
      <c r="J55" s="324"/>
      <c r="K55" s="188"/>
      <c r="L55" s="867">
        <v>410</v>
      </c>
      <c r="M55" s="895"/>
      <c r="N55" s="106"/>
      <c r="O55" s="455"/>
      <c r="P55" s="531"/>
      <c r="Q55" s="340"/>
      <c r="R55" s="98"/>
      <c r="S55" s="326"/>
      <c r="T55" s="342">
        <v>1200</v>
      </c>
      <c r="U55" s="343"/>
      <c r="V55" s="344">
        <v>40</v>
      </c>
      <c r="W55" s="289"/>
      <c r="X55" s="340"/>
      <c r="Y55" s="43"/>
      <c r="Z55" s="44"/>
      <c r="AA55" s="44"/>
      <c r="AB55" s="49"/>
      <c r="AC55" s="345"/>
      <c r="AD55" s="312"/>
      <c r="AE55" s="292"/>
      <c r="AF55" s="46"/>
      <c r="AG55" s="48"/>
      <c r="AH55" s="48"/>
      <c r="AI55" s="47"/>
      <c r="AJ55" s="5"/>
      <c r="AK55" s="727"/>
      <c r="AL55" s="862"/>
      <c r="AM55" s="458"/>
      <c r="AN55" s="295"/>
      <c r="AO55" s="905">
        <v>70</v>
      </c>
      <c r="AP55" s="85"/>
      <c r="AQ55" s="677">
        <v>245</v>
      </c>
      <c r="AR55" s="56"/>
      <c r="AS55" s="34"/>
      <c r="AT55" s="742">
        <v>19</v>
      </c>
      <c r="AU55" s="73"/>
      <c r="AV55" s="39"/>
      <c r="AW55" s="143"/>
      <c r="AX55" s="33"/>
      <c r="AY55" s="34"/>
      <c r="AZ55" s="34"/>
      <c r="BA55" s="84"/>
      <c r="BB55" s="748"/>
      <c r="BC55" s="590"/>
      <c r="BD55" s="588"/>
      <c r="BE55" s="299"/>
      <c r="BF55" s="300"/>
      <c r="BG55" s="112"/>
      <c r="BH55" s="541"/>
      <c r="BI55" s="301">
        <v>2</v>
      </c>
      <c r="BJ55" s="655" t="s">
        <v>870</v>
      </c>
      <c r="BK55" s="36" t="s">
        <v>1572</v>
      </c>
      <c r="BL55" s="303" t="s">
        <v>1504</v>
      </c>
      <c r="BM55" s="86" t="s">
        <v>1503</v>
      </c>
      <c r="BN55" s="303" t="s">
        <v>104</v>
      </c>
      <c r="BO55" s="86"/>
      <c r="BP55" s="656"/>
      <c r="BQ55" s="576"/>
      <c r="BR55" s="444"/>
      <c r="BS55" s="365"/>
      <c r="BT55" s="365"/>
      <c r="BU55" s="365"/>
      <c r="BV55" s="580"/>
      <c r="BW55" s="366"/>
      <c r="BX55"/>
      <c r="BY55"/>
      <c r="BZ55" s="1"/>
      <c r="CA55" s="21"/>
      <c r="CB55" s="605"/>
      <c r="CC55" s="600"/>
      <c r="CD55" s="601"/>
      <c r="CE55" s="329">
        <f t="shared" si="3"/>
        <v>0</v>
      </c>
      <c r="CF55" s="329">
        <f t="shared" si="23"/>
        <v>0</v>
      </c>
      <c r="CG55" s="329">
        <f t="shared" si="24"/>
      </c>
      <c r="CH55" s="329">
        <f t="shared" si="25"/>
      </c>
      <c r="CI55" s="329">
        <f t="shared" si="26"/>
      </c>
      <c r="CJ55" s="329">
        <f t="shared" si="27"/>
      </c>
      <c r="CK55" s="329">
        <f t="shared" si="28"/>
      </c>
      <c r="CL55" s="329">
        <f t="shared" si="29"/>
      </c>
      <c r="CM55" s="485" t="s">
        <v>273</v>
      </c>
      <c r="CN55" s="724" t="s">
        <v>871</v>
      </c>
      <c r="CO55" s="440"/>
      <c r="CP55" s="392"/>
      <c r="CQ55" s="392"/>
      <c r="CR55" s="393"/>
      <c r="CS55" s="834"/>
      <c r="CT55" s="592"/>
      <c r="CU55" s="21" t="e">
        <f t="shared" si="30"/>
        <v>#DIV/0!</v>
      </c>
      <c r="CV55" s="21" t="e">
        <f t="shared" si="31"/>
        <v>#DIV/0!</v>
      </c>
      <c r="CX55" s="625">
        <f t="shared" si="32"/>
        <v>0</v>
      </c>
      <c r="CY55" s="623">
        <f t="shared" si="33"/>
        <v>0</v>
      </c>
      <c r="CZ55" s="624">
        <f t="shared" si="34"/>
        <v>0</v>
      </c>
      <c r="DA55" s="634">
        <f t="shared" si="35"/>
        <v>0</v>
      </c>
      <c r="DB55" s="591">
        <f t="shared" si="36"/>
        <v>1200000</v>
      </c>
      <c r="DC55" s="591">
        <f t="shared" si="37"/>
        <v>0</v>
      </c>
      <c r="DD55" s="591">
        <v>15000</v>
      </c>
      <c r="DI55" s="54">
        <v>1.6875</v>
      </c>
      <c r="DJ55" s="54">
        <v>6.25</v>
      </c>
      <c r="DK55" s="649">
        <f t="shared" si="38"/>
        <v>0</v>
      </c>
    </row>
    <row r="56" spans="1:115" s="54" customFormat="1" ht="12.75">
      <c r="A56" s="24" t="s">
        <v>708</v>
      </c>
      <c r="B56" s="69"/>
      <c r="C56" s="315" t="s">
        <v>1042</v>
      </c>
      <c r="D56" s="670"/>
      <c r="E56" s="374" t="s">
        <v>1689</v>
      </c>
      <c r="F56" s="15">
        <v>1</v>
      </c>
      <c r="G56" s="843">
        <v>3</v>
      </c>
      <c r="H56" s="732"/>
      <c r="I56" s="323"/>
      <c r="J56" s="324"/>
      <c r="K56" s="188"/>
      <c r="L56" s="867">
        <v>410</v>
      </c>
      <c r="M56" s="895"/>
      <c r="N56" s="106"/>
      <c r="O56" s="455"/>
      <c r="P56" s="531"/>
      <c r="Q56" s="340"/>
      <c r="R56" s="98"/>
      <c r="S56" s="326"/>
      <c r="T56" s="342">
        <v>1200</v>
      </c>
      <c r="U56" s="343"/>
      <c r="V56" s="344">
        <v>40</v>
      </c>
      <c r="W56" s="289"/>
      <c r="X56" s="340"/>
      <c r="Y56" s="43"/>
      <c r="Z56" s="44"/>
      <c r="AA56" s="44"/>
      <c r="AB56" s="49"/>
      <c r="AC56" s="345"/>
      <c r="AD56" s="312"/>
      <c r="AE56" s="292"/>
      <c r="AF56" s="46"/>
      <c r="AG56" s="48"/>
      <c r="AH56" s="48"/>
      <c r="AI56" s="47"/>
      <c r="AJ56" s="5"/>
      <c r="AK56" s="727"/>
      <c r="AL56" s="862"/>
      <c r="AM56" s="458"/>
      <c r="AN56" s="295"/>
      <c r="AO56" s="145">
        <v>60</v>
      </c>
      <c r="AP56" s="85"/>
      <c r="AQ56" s="677">
        <v>270</v>
      </c>
      <c r="AR56" s="56"/>
      <c r="AS56" s="34"/>
      <c r="AT56" s="34">
        <v>19</v>
      </c>
      <c r="AU56" s="73"/>
      <c r="AV56" s="39"/>
      <c r="AW56" s="143"/>
      <c r="AX56" s="33"/>
      <c r="AY56" s="34"/>
      <c r="AZ56" s="34"/>
      <c r="BA56" s="84"/>
      <c r="BB56" s="748"/>
      <c r="BC56" s="590"/>
      <c r="BD56" s="588"/>
      <c r="BE56" s="299"/>
      <c r="BF56" s="300"/>
      <c r="BG56" s="112"/>
      <c r="BH56" s="541"/>
      <c r="BI56" s="301">
        <v>4</v>
      </c>
      <c r="BJ56" s="655" t="s">
        <v>870</v>
      </c>
      <c r="BK56" s="36" t="s">
        <v>600</v>
      </c>
      <c r="BL56" s="303" t="s">
        <v>1505</v>
      </c>
      <c r="BM56" s="86" t="s">
        <v>1744</v>
      </c>
      <c r="BN56" s="303" t="s">
        <v>104</v>
      </c>
      <c r="BO56" s="86"/>
      <c r="BP56" s="656"/>
      <c r="BQ56" s="576"/>
      <c r="BR56" s="444"/>
      <c r="BS56" s="365"/>
      <c r="BT56" s="365"/>
      <c r="BU56" s="365"/>
      <c r="BV56" s="580"/>
      <c r="BW56" s="366"/>
      <c r="BX56"/>
      <c r="BY56"/>
      <c r="BZ56" s="1"/>
      <c r="CA56" s="21"/>
      <c r="CB56" s="605"/>
      <c r="CC56" s="600"/>
      <c r="CD56" s="601"/>
      <c r="CE56" s="329">
        <f t="shared" si="3"/>
        <v>0</v>
      </c>
      <c r="CF56" s="329">
        <f t="shared" si="23"/>
        <v>0</v>
      </c>
      <c r="CG56" s="329">
        <f t="shared" si="24"/>
      </c>
      <c r="CH56" s="329">
        <f t="shared" si="25"/>
      </c>
      <c r="CI56" s="329">
        <f t="shared" si="26"/>
      </c>
      <c r="CJ56" s="329">
        <f t="shared" si="27"/>
      </c>
      <c r="CK56" s="329">
        <f t="shared" si="28"/>
      </c>
      <c r="CL56" s="329">
        <f t="shared" si="29"/>
      </c>
      <c r="CM56" s="485" t="s">
        <v>1006</v>
      </c>
      <c r="CN56" s="724" t="s">
        <v>871</v>
      </c>
      <c r="CO56" s="440"/>
      <c r="CP56" s="392"/>
      <c r="CQ56" s="392"/>
      <c r="CR56" s="393"/>
      <c r="CS56" s="834"/>
      <c r="CT56" s="592"/>
      <c r="CU56" s="21" t="e">
        <f t="shared" si="30"/>
        <v>#DIV/0!</v>
      </c>
      <c r="CV56" s="21" t="e">
        <f t="shared" si="31"/>
        <v>#DIV/0!</v>
      </c>
      <c r="CX56" s="625">
        <f t="shared" si="32"/>
        <v>0</v>
      </c>
      <c r="CY56" s="626">
        <f t="shared" si="33"/>
        <v>0</v>
      </c>
      <c r="CZ56" s="624">
        <f t="shared" si="34"/>
        <v>0</v>
      </c>
      <c r="DA56" s="634">
        <f t="shared" si="35"/>
        <v>0</v>
      </c>
      <c r="DB56" s="591">
        <f t="shared" si="36"/>
        <v>1200000</v>
      </c>
      <c r="DC56" s="591">
        <f t="shared" si="37"/>
        <v>0</v>
      </c>
      <c r="DD56" s="591">
        <v>15000</v>
      </c>
      <c r="DI56" s="54">
        <v>1.6875</v>
      </c>
      <c r="DJ56" s="54">
        <v>6.25</v>
      </c>
      <c r="DK56" s="649">
        <f t="shared" si="38"/>
        <v>0</v>
      </c>
    </row>
    <row r="57" spans="1:115" s="54" customFormat="1" ht="12.75">
      <c r="A57" s="24" t="s">
        <v>1537</v>
      </c>
      <c r="B57" s="69"/>
      <c r="C57" s="315" t="s">
        <v>1042</v>
      </c>
      <c r="D57" s="670" t="s">
        <v>214</v>
      </c>
      <c r="E57" s="374" t="s">
        <v>1689</v>
      </c>
      <c r="F57" s="15">
        <v>1</v>
      </c>
      <c r="G57" s="739">
        <v>3</v>
      </c>
      <c r="H57" s="17"/>
      <c r="I57" s="323"/>
      <c r="J57" s="324"/>
      <c r="K57" s="188"/>
      <c r="L57" s="867">
        <v>375</v>
      </c>
      <c r="M57" s="895"/>
      <c r="N57" s="106"/>
      <c r="O57" s="455"/>
      <c r="P57" s="531"/>
      <c r="Q57" s="340"/>
      <c r="R57" s="98"/>
      <c r="S57" s="326"/>
      <c r="T57" s="342">
        <v>1200</v>
      </c>
      <c r="U57" s="343"/>
      <c r="V57" s="344">
        <v>40</v>
      </c>
      <c r="W57" s="289"/>
      <c r="X57" s="340"/>
      <c r="Y57" s="43"/>
      <c r="Z57" s="44"/>
      <c r="AA57" s="44"/>
      <c r="AB57" s="49"/>
      <c r="AC57" s="345"/>
      <c r="AD57" s="312"/>
      <c r="AE57" s="292"/>
      <c r="AF57" s="46"/>
      <c r="AG57" s="48"/>
      <c r="AH57" s="48"/>
      <c r="AI57" s="47"/>
      <c r="AJ57" s="5"/>
      <c r="AK57" s="727"/>
      <c r="AL57" s="862"/>
      <c r="AM57" s="458"/>
      <c r="AN57" s="295"/>
      <c r="AO57" s="145">
        <v>60</v>
      </c>
      <c r="AP57" s="85"/>
      <c r="AQ57" s="677">
        <v>270</v>
      </c>
      <c r="AR57" s="56"/>
      <c r="AS57" s="34"/>
      <c r="AT57" s="34">
        <v>15</v>
      </c>
      <c r="AU57" s="73"/>
      <c r="AV57" s="39"/>
      <c r="AW57" s="143"/>
      <c r="AX57" s="33"/>
      <c r="AY57" s="34"/>
      <c r="AZ57" s="34"/>
      <c r="BA57" s="84"/>
      <c r="BB57" s="748"/>
      <c r="BC57" s="590"/>
      <c r="BD57" s="588"/>
      <c r="BE57" s="299"/>
      <c r="BF57" s="300"/>
      <c r="BG57" s="112"/>
      <c r="BH57" s="541"/>
      <c r="BI57" s="301">
        <v>1</v>
      </c>
      <c r="BJ57" s="655" t="s">
        <v>870</v>
      </c>
      <c r="BK57" s="36" t="s">
        <v>181</v>
      </c>
      <c r="BL57" s="303" t="s">
        <v>1536</v>
      </c>
      <c r="BM57" s="86" t="s">
        <v>1677</v>
      </c>
      <c r="BN57" s="303" t="s">
        <v>104</v>
      </c>
      <c r="BO57" s="86"/>
      <c r="BP57" s="656"/>
      <c r="BQ57" s="576"/>
      <c r="BR57" s="444"/>
      <c r="BS57" s="365"/>
      <c r="BT57" s="365"/>
      <c r="BU57" s="365"/>
      <c r="BV57" s="580"/>
      <c r="BW57" s="366"/>
      <c r="BX57"/>
      <c r="BY57"/>
      <c r="BZ57" s="1"/>
      <c r="CA57" s="21"/>
      <c r="CB57" s="605"/>
      <c r="CC57" s="600"/>
      <c r="CD57" s="601"/>
      <c r="CE57" s="329">
        <f t="shared" si="3"/>
        <v>0</v>
      </c>
      <c r="CF57" s="329">
        <f t="shared" si="23"/>
        <v>0</v>
      </c>
      <c r="CG57" s="329">
        <f t="shared" si="24"/>
      </c>
      <c r="CH57" s="329">
        <f t="shared" si="25"/>
      </c>
      <c r="CI57" s="329">
        <f t="shared" si="26"/>
      </c>
      <c r="CJ57" s="329">
        <f t="shared" si="27"/>
      </c>
      <c r="CK57" s="329">
        <f t="shared" si="28"/>
      </c>
      <c r="CL57" s="329">
        <f t="shared" si="29"/>
      </c>
      <c r="CM57" s="485" t="s">
        <v>1006</v>
      </c>
      <c r="CN57" s="724" t="s">
        <v>871</v>
      </c>
      <c r="CO57" s="440" t="s">
        <v>1574</v>
      </c>
      <c r="CP57" s="392"/>
      <c r="CQ57" s="392"/>
      <c r="CR57" s="393"/>
      <c r="CS57" s="834"/>
      <c r="CT57" s="592"/>
      <c r="CU57" s="21" t="e">
        <f t="shared" si="30"/>
        <v>#DIV/0!</v>
      </c>
      <c r="CV57" s="21" t="e">
        <f t="shared" si="31"/>
        <v>#DIV/0!</v>
      </c>
      <c r="CX57" s="625">
        <f t="shared" si="32"/>
        <v>0</v>
      </c>
      <c r="CY57" s="626">
        <f t="shared" si="33"/>
        <v>0</v>
      </c>
      <c r="CZ57" s="624">
        <f t="shared" si="34"/>
        <v>0</v>
      </c>
      <c r="DA57" s="634">
        <f t="shared" si="35"/>
        <v>0</v>
      </c>
      <c r="DB57" s="591">
        <f t="shared" si="36"/>
        <v>1200000</v>
      </c>
      <c r="DC57" s="591">
        <f t="shared" si="37"/>
        <v>0</v>
      </c>
      <c r="DD57" s="591">
        <v>15000</v>
      </c>
      <c r="DI57" s="54">
        <v>1.6875</v>
      </c>
      <c r="DJ57" s="54">
        <v>6.25</v>
      </c>
      <c r="DK57" s="649">
        <f t="shared" si="38"/>
        <v>0</v>
      </c>
    </row>
    <row r="58" spans="1:115" s="54" customFormat="1" ht="12.75">
      <c r="A58" s="24" t="s">
        <v>793</v>
      </c>
      <c r="B58" s="69"/>
      <c r="C58" s="315" t="s">
        <v>1042</v>
      </c>
      <c r="D58" s="670" t="s">
        <v>214</v>
      </c>
      <c r="E58" s="374" t="s">
        <v>490</v>
      </c>
      <c r="F58" s="15">
        <v>2</v>
      </c>
      <c r="G58" s="18"/>
      <c r="H58" s="17">
        <v>1</v>
      </c>
      <c r="I58" s="323"/>
      <c r="J58" s="324"/>
      <c r="K58" s="188"/>
      <c r="L58" s="867"/>
      <c r="M58" s="895">
        <v>1095</v>
      </c>
      <c r="N58" s="106"/>
      <c r="O58" s="455">
        <v>100</v>
      </c>
      <c r="P58" s="743">
        <v>25</v>
      </c>
      <c r="Q58" s="340"/>
      <c r="R58" s="341"/>
      <c r="S58" s="358"/>
      <c r="T58" s="342">
        <v>1200</v>
      </c>
      <c r="U58" s="343"/>
      <c r="V58" s="344">
        <v>40</v>
      </c>
      <c r="W58" s="289"/>
      <c r="X58" s="148"/>
      <c r="Y58" s="43"/>
      <c r="Z58" s="44"/>
      <c r="AA58" s="44"/>
      <c r="AB58" s="49"/>
      <c r="AC58" s="345"/>
      <c r="AD58" s="312"/>
      <c r="AE58" s="292"/>
      <c r="AF58" s="46"/>
      <c r="AG58" s="48"/>
      <c r="AH58" s="48"/>
      <c r="AI58" s="47"/>
      <c r="AJ58" s="5"/>
      <c r="AK58" s="727"/>
      <c r="AL58" s="862">
        <v>1400</v>
      </c>
      <c r="AM58" s="458">
        <v>415</v>
      </c>
      <c r="AN58" s="295"/>
      <c r="AO58" s="145"/>
      <c r="AP58" s="85"/>
      <c r="AQ58" s="677"/>
      <c r="AR58" s="56"/>
      <c r="AS58" s="34"/>
      <c r="AT58" s="34"/>
      <c r="AU58" s="73"/>
      <c r="AV58" s="39"/>
      <c r="AW58" s="143"/>
      <c r="AX58" s="33"/>
      <c r="AY58" s="34"/>
      <c r="AZ58" s="34"/>
      <c r="BA58" s="84"/>
      <c r="BB58" s="748"/>
      <c r="BC58" s="590"/>
      <c r="BD58" s="588"/>
      <c r="BE58" s="299"/>
      <c r="BF58" s="300"/>
      <c r="BG58" s="112"/>
      <c r="BH58" s="541"/>
      <c r="BI58" s="301">
        <v>2</v>
      </c>
      <c r="BJ58" s="655" t="s">
        <v>870</v>
      </c>
      <c r="BK58" s="36" t="s">
        <v>304</v>
      </c>
      <c r="BL58" s="303" t="s">
        <v>1538</v>
      </c>
      <c r="BM58" s="86" t="s">
        <v>1681</v>
      </c>
      <c r="BN58" s="303" t="s">
        <v>104</v>
      </c>
      <c r="BO58" s="86"/>
      <c r="BP58" s="656"/>
      <c r="BQ58" s="576"/>
      <c r="BR58" s="444"/>
      <c r="BS58" s="365"/>
      <c r="BT58" s="365"/>
      <c r="BU58" s="365"/>
      <c r="BV58" s="580"/>
      <c r="BW58" s="366"/>
      <c r="BX58"/>
      <c r="BY58"/>
      <c r="BZ58" s="1"/>
      <c r="CA58" s="21"/>
      <c r="CB58" s="605"/>
      <c r="CC58" s="610"/>
      <c r="CD58" s="601"/>
      <c r="CE58" s="329">
        <f t="shared" si="3"/>
        <v>0</v>
      </c>
      <c r="CF58" s="329">
        <f t="shared" si="23"/>
        <v>0</v>
      </c>
      <c r="CG58" s="329">
        <f t="shared" si="24"/>
        <v>0</v>
      </c>
      <c r="CH58" s="329">
        <f t="shared" si="25"/>
      </c>
      <c r="CI58" s="329">
        <f t="shared" si="26"/>
      </c>
      <c r="CJ58" s="329">
        <f t="shared" si="27"/>
      </c>
      <c r="CK58" s="329">
        <f t="shared" si="28"/>
      </c>
      <c r="CL58" s="329">
        <f t="shared" si="29"/>
      </c>
      <c r="CM58" s="485" t="s">
        <v>867</v>
      </c>
      <c r="CN58" s="724" t="s">
        <v>871</v>
      </c>
      <c r="CO58" s="440" t="s">
        <v>1574</v>
      </c>
      <c r="CP58" s="392"/>
      <c r="CQ58" s="392"/>
      <c r="CR58" s="393"/>
      <c r="CS58" s="834"/>
      <c r="CT58" s="592"/>
      <c r="CU58" s="21" t="e">
        <f t="shared" si="30"/>
        <v>#DIV/0!</v>
      </c>
      <c r="CV58" s="21" t="e">
        <f t="shared" si="31"/>
        <v>#DIV/0!</v>
      </c>
      <c r="CX58" s="625">
        <f t="shared" si="32"/>
        <v>0</v>
      </c>
      <c r="CY58" s="626">
        <f t="shared" si="33"/>
        <v>0</v>
      </c>
      <c r="CZ58" s="624">
        <f t="shared" si="34"/>
        <v>0</v>
      </c>
      <c r="DA58" s="634">
        <f t="shared" si="35"/>
        <v>0</v>
      </c>
      <c r="DB58" s="591">
        <f t="shared" si="36"/>
        <v>1200000</v>
      </c>
      <c r="DC58" s="591">
        <f t="shared" si="37"/>
        <v>0</v>
      </c>
      <c r="DD58" s="591">
        <v>15000</v>
      </c>
      <c r="DI58" s="54">
        <v>1.6875</v>
      </c>
      <c r="DJ58" s="54">
        <v>6.25</v>
      </c>
      <c r="DK58" s="649">
        <f t="shared" si="38"/>
        <v>0</v>
      </c>
    </row>
    <row r="59" spans="1:115" s="54" customFormat="1" ht="12.75">
      <c r="A59" s="24" t="s">
        <v>794</v>
      </c>
      <c r="B59" s="69"/>
      <c r="C59" s="315" t="s">
        <v>1042</v>
      </c>
      <c r="D59" s="670"/>
      <c r="E59" s="374" t="s">
        <v>490</v>
      </c>
      <c r="F59" s="15">
        <v>2</v>
      </c>
      <c r="G59" s="18">
        <v>1</v>
      </c>
      <c r="H59" s="17"/>
      <c r="I59" s="323"/>
      <c r="J59" s="324"/>
      <c r="K59" s="188"/>
      <c r="L59" s="867"/>
      <c r="M59" s="895">
        <v>1050</v>
      </c>
      <c r="N59" s="106"/>
      <c r="O59" s="455"/>
      <c r="P59" s="531"/>
      <c r="Q59" s="340"/>
      <c r="R59" s="98"/>
      <c r="S59" s="326"/>
      <c r="T59" s="342">
        <v>1200</v>
      </c>
      <c r="U59" s="343"/>
      <c r="V59" s="344">
        <v>40</v>
      </c>
      <c r="W59" s="289"/>
      <c r="X59" s="340"/>
      <c r="Y59" s="43"/>
      <c r="Z59" s="44"/>
      <c r="AA59" s="44"/>
      <c r="AB59" s="49"/>
      <c r="AC59" s="345"/>
      <c r="AD59" s="312"/>
      <c r="AE59" s="292"/>
      <c r="AF59" s="46"/>
      <c r="AG59" s="48"/>
      <c r="AH59" s="48"/>
      <c r="AI59" s="47"/>
      <c r="AJ59" s="5"/>
      <c r="AK59" s="727"/>
      <c r="AL59" s="862">
        <v>1850</v>
      </c>
      <c r="AM59" s="733">
        <v>415</v>
      </c>
      <c r="AN59" s="295"/>
      <c r="AO59" s="145"/>
      <c r="AP59" s="85"/>
      <c r="AQ59" s="677"/>
      <c r="AR59" s="56"/>
      <c r="AS59" s="34"/>
      <c r="AT59" s="34"/>
      <c r="AU59" s="73"/>
      <c r="AV59" s="39"/>
      <c r="AW59" s="143"/>
      <c r="AX59" s="33"/>
      <c r="AY59" s="34"/>
      <c r="AZ59" s="34"/>
      <c r="BA59" s="84"/>
      <c r="BB59" s="748"/>
      <c r="BC59" s="590"/>
      <c r="BD59" s="588"/>
      <c r="BE59" s="299"/>
      <c r="BF59" s="300"/>
      <c r="BG59" s="112"/>
      <c r="BH59" s="541"/>
      <c r="BI59" s="301">
        <v>3</v>
      </c>
      <c r="BJ59" s="655" t="s">
        <v>870</v>
      </c>
      <c r="BK59" s="36" t="s">
        <v>488</v>
      </c>
      <c r="BL59" s="303" t="s">
        <v>374</v>
      </c>
      <c r="BM59" s="86" t="s">
        <v>1682</v>
      </c>
      <c r="BN59" s="303" t="s">
        <v>104</v>
      </c>
      <c r="BO59" s="86"/>
      <c r="BP59" s="656"/>
      <c r="BQ59" s="576"/>
      <c r="BR59" s="444"/>
      <c r="BS59" s="365"/>
      <c r="BT59" s="365"/>
      <c r="BU59" s="365"/>
      <c r="BV59" s="580"/>
      <c r="BW59" s="366"/>
      <c r="BX59"/>
      <c r="BY59"/>
      <c r="BZ59" s="1"/>
      <c r="CA59" s="21"/>
      <c r="CB59" s="605"/>
      <c r="CC59" s="600"/>
      <c r="CD59" s="601"/>
      <c r="CE59" s="329">
        <f t="shared" si="3"/>
        <v>0</v>
      </c>
      <c r="CF59" s="329">
        <f t="shared" si="23"/>
        <v>0</v>
      </c>
      <c r="CG59" s="329">
        <f t="shared" si="24"/>
        <v>0</v>
      </c>
      <c r="CH59" s="329">
        <f t="shared" si="25"/>
      </c>
      <c r="CI59" s="329">
        <f t="shared" si="26"/>
      </c>
      <c r="CJ59" s="329">
        <f t="shared" si="27"/>
      </c>
      <c r="CK59" s="329">
        <f t="shared" si="28"/>
      </c>
      <c r="CL59" s="329">
        <f t="shared" si="29"/>
      </c>
      <c r="CM59" s="485" t="s">
        <v>273</v>
      </c>
      <c r="CN59" s="724" t="s">
        <v>871</v>
      </c>
      <c r="CO59" s="440"/>
      <c r="CP59" s="392"/>
      <c r="CQ59" s="392"/>
      <c r="CR59" s="393"/>
      <c r="CS59" s="834"/>
      <c r="CT59" s="592"/>
      <c r="CU59" s="21" t="e">
        <f t="shared" si="30"/>
        <v>#DIV/0!</v>
      </c>
      <c r="CV59" s="21" t="e">
        <f t="shared" si="31"/>
        <v>#DIV/0!</v>
      </c>
      <c r="CX59" s="625">
        <f t="shared" si="32"/>
        <v>0</v>
      </c>
      <c r="CY59" s="623">
        <f t="shared" si="33"/>
        <v>0</v>
      </c>
      <c r="CZ59" s="624">
        <f t="shared" si="34"/>
        <v>0</v>
      </c>
      <c r="DA59" s="634">
        <f t="shared" si="35"/>
        <v>0</v>
      </c>
      <c r="DB59" s="591">
        <f t="shared" si="36"/>
        <v>1200000</v>
      </c>
      <c r="DC59" s="591">
        <f t="shared" si="37"/>
        <v>0</v>
      </c>
      <c r="DD59" s="591">
        <v>15000</v>
      </c>
      <c r="DI59" s="54">
        <v>1.6875</v>
      </c>
      <c r="DJ59" s="54">
        <v>6.25</v>
      </c>
      <c r="DK59" s="649">
        <f t="shared" si="38"/>
        <v>0</v>
      </c>
    </row>
    <row r="60" spans="1:115" s="54" customFormat="1" ht="12.75">
      <c r="A60" s="24" t="s">
        <v>709</v>
      </c>
      <c r="B60" s="69"/>
      <c r="C60" s="315" t="s">
        <v>1042</v>
      </c>
      <c r="D60" s="670"/>
      <c r="E60" s="374" t="s">
        <v>490</v>
      </c>
      <c r="F60" s="15">
        <v>2</v>
      </c>
      <c r="G60" s="18">
        <v>1</v>
      </c>
      <c r="H60" s="17"/>
      <c r="I60" s="323"/>
      <c r="J60" s="324"/>
      <c r="K60" s="188"/>
      <c r="L60" s="867"/>
      <c r="M60" s="895">
        <v>1095</v>
      </c>
      <c r="N60" s="106"/>
      <c r="O60" s="455"/>
      <c r="P60" s="531"/>
      <c r="Q60" s="340"/>
      <c r="R60" s="98"/>
      <c r="S60" s="326"/>
      <c r="T60" s="342">
        <v>1200</v>
      </c>
      <c r="U60" s="343"/>
      <c r="V60" s="344">
        <v>40</v>
      </c>
      <c r="W60" s="289"/>
      <c r="X60" s="340"/>
      <c r="Y60" s="43"/>
      <c r="Z60" s="44"/>
      <c r="AA60" s="44"/>
      <c r="AB60" s="49"/>
      <c r="AC60" s="345"/>
      <c r="AD60" s="312"/>
      <c r="AE60" s="292"/>
      <c r="AF60" s="46"/>
      <c r="AG60" s="48"/>
      <c r="AH60" s="48"/>
      <c r="AI60" s="47"/>
      <c r="AJ60" s="5"/>
      <c r="AK60" s="727"/>
      <c r="AL60" s="862">
        <v>1400</v>
      </c>
      <c r="AM60" s="844">
        <v>415</v>
      </c>
      <c r="AN60" s="295"/>
      <c r="AO60" s="145"/>
      <c r="AP60" s="85"/>
      <c r="AQ60" s="677"/>
      <c r="AR60" s="56"/>
      <c r="AS60" s="34"/>
      <c r="AT60" s="34"/>
      <c r="AU60" s="73"/>
      <c r="AV60" s="39"/>
      <c r="AW60" s="143"/>
      <c r="AX60" s="33"/>
      <c r="AY60" s="34"/>
      <c r="AZ60" s="34"/>
      <c r="BA60" s="84"/>
      <c r="BB60" s="748"/>
      <c r="BC60" s="590"/>
      <c r="BD60" s="588"/>
      <c r="BE60" s="299"/>
      <c r="BF60" s="300"/>
      <c r="BG60" s="112"/>
      <c r="BH60" s="541"/>
      <c r="BI60" s="301">
        <v>4</v>
      </c>
      <c r="BJ60" s="655" t="s">
        <v>870</v>
      </c>
      <c r="BK60" s="36" t="s">
        <v>1684</v>
      </c>
      <c r="BL60" s="303" t="s">
        <v>1685</v>
      </c>
      <c r="BM60" s="86" t="s">
        <v>1784</v>
      </c>
      <c r="BN60" s="303" t="s">
        <v>104</v>
      </c>
      <c r="BO60" s="86"/>
      <c r="BP60" s="656"/>
      <c r="BQ60" s="576"/>
      <c r="BR60" s="444"/>
      <c r="BS60" s="365"/>
      <c r="BT60" s="365"/>
      <c r="BU60" s="365"/>
      <c r="BV60" s="580"/>
      <c r="BW60" s="366"/>
      <c r="BX60"/>
      <c r="BY60"/>
      <c r="BZ60" s="1"/>
      <c r="CA60" s="21"/>
      <c r="CB60" s="605"/>
      <c r="CC60" s="600"/>
      <c r="CD60" s="601"/>
      <c r="CE60" s="329">
        <f t="shared" si="3"/>
        <v>0</v>
      </c>
      <c r="CF60" s="329">
        <f t="shared" si="23"/>
        <v>0</v>
      </c>
      <c r="CG60" s="329">
        <f t="shared" si="24"/>
        <v>0</v>
      </c>
      <c r="CH60" s="329">
        <f t="shared" si="25"/>
      </c>
      <c r="CI60" s="329">
        <f t="shared" si="26"/>
      </c>
      <c r="CJ60" s="329">
        <f t="shared" si="27"/>
      </c>
      <c r="CK60" s="329">
        <f t="shared" si="28"/>
      </c>
      <c r="CL60" s="329">
        <f t="shared" si="29"/>
      </c>
      <c r="CM60" s="485" t="s">
        <v>273</v>
      </c>
      <c r="CN60" s="724" t="s">
        <v>871</v>
      </c>
      <c r="CO60" s="440"/>
      <c r="CP60" s="392"/>
      <c r="CQ60" s="392"/>
      <c r="CR60" s="393"/>
      <c r="CS60" s="834"/>
      <c r="CT60" s="592"/>
      <c r="CU60" s="21" t="e">
        <f t="shared" si="30"/>
        <v>#DIV/0!</v>
      </c>
      <c r="CV60" s="21" t="e">
        <f t="shared" si="31"/>
        <v>#DIV/0!</v>
      </c>
      <c r="CX60" s="625">
        <f t="shared" si="32"/>
        <v>0</v>
      </c>
      <c r="CY60" s="623">
        <f t="shared" si="33"/>
        <v>0</v>
      </c>
      <c r="CZ60" s="624">
        <f t="shared" si="34"/>
        <v>0</v>
      </c>
      <c r="DA60" s="634">
        <f t="shared" si="35"/>
        <v>0</v>
      </c>
      <c r="DB60" s="591">
        <f t="shared" si="36"/>
        <v>1200000</v>
      </c>
      <c r="DC60" s="591">
        <f t="shared" si="37"/>
        <v>0</v>
      </c>
      <c r="DD60" s="591">
        <v>15000</v>
      </c>
      <c r="DI60" s="54">
        <v>1.6875</v>
      </c>
      <c r="DJ60" s="54">
        <v>6.25</v>
      </c>
      <c r="DK60" s="649">
        <f t="shared" si="38"/>
        <v>0</v>
      </c>
    </row>
    <row r="61" spans="1:115" s="54" customFormat="1" ht="12.75">
      <c r="A61" s="24" t="s">
        <v>795</v>
      </c>
      <c r="B61" s="69"/>
      <c r="C61" s="315" t="s">
        <v>1042</v>
      </c>
      <c r="D61" s="670"/>
      <c r="E61" s="374" t="s">
        <v>490</v>
      </c>
      <c r="F61" s="15">
        <v>2</v>
      </c>
      <c r="G61" s="18"/>
      <c r="H61" s="17">
        <v>1</v>
      </c>
      <c r="I61" s="323"/>
      <c r="J61" s="324">
        <v>1</v>
      </c>
      <c r="K61" s="188"/>
      <c r="L61" s="867"/>
      <c r="M61" s="896">
        <v>1165</v>
      </c>
      <c r="N61" s="106"/>
      <c r="O61" s="455"/>
      <c r="P61" s="531"/>
      <c r="Q61" s="340"/>
      <c r="R61" s="98"/>
      <c r="S61" s="326"/>
      <c r="T61" s="342">
        <v>1200</v>
      </c>
      <c r="U61" s="343"/>
      <c r="V61" s="344">
        <v>40</v>
      </c>
      <c r="W61" s="289"/>
      <c r="X61" s="340"/>
      <c r="Y61" s="43"/>
      <c r="Z61" s="44"/>
      <c r="AA61" s="44"/>
      <c r="AB61" s="49"/>
      <c r="AC61" s="345"/>
      <c r="AD61" s="312"/>
      <c r="AE61" s="292"/>
      <c r="AF61" s="46"/>
      <c r="AG61" s="48"/>
      <c r="AH61" s="48"/>
      <c r="AI61" s="47"/>
      <c r="AJ61" s="5"/>
      <c r="AK61" s="727"/>
      <c r="AL61" s="862">
        <v>1400</v>
      </c>
      <c r="AM61" s="458">
        <v>415</v>
      </c>
      <c r="AN61" s="295"/>
      <c r="AO61" s="145"/>
      <c r="AP61" s="85"/>
      <c r="AQ61" s="677"/>
      <c r="AR61" s="56"/>
      <c r="AS61" s="34"/>
      <c r="AT61" s="34"/>
      <c r="AU61" s="73"/>
      <c r="AV61" s="39"/>
      <c r="AW61" s="143"/>
      <c r="AX61" s="33"/>
      <c r="AY61" s="34"/>
      <c r="AZ61" s="34"/>
      <c r="BA61" s="84"/>
      <c r="BB61" s="748"/>
      <c r="BC61" s="590"/>
      <c r="BD61" s="588"/>
      <c r="BE61" s="299"/>
      <c r="BF61" s="300"/>
      <c r="BG61" s="112"/>
      <c r="BH61" s="541"/>
      <c r="BI61" s="301">
        <v>1</v>
      </c>
      <c r="BJ61" s="655" t="s">
        <v>870</v>
      </c>
      <c r="BK61" s="36" t="s">
        <v>1559</v>
      </c>
      <c r="BL61" s="303" t="s">
        <v>375</v>
      </c>
      <c r="BM61" s="86" t="s">
        <v>1683</v>
      </c>
      <c r="BN61" s="303" t="s">
        <v>104</v>
      </c>
      <c r="BO61" s="86"/>
      <c r="BP61" s="656"/>
      <c r="BQ61" s="576"/>
      <c r="BR61" s="444"/>
      <c r="BS61" s="365"/>
      <c r="BT61" s="365"/>
      <c r="BU61" s="365"/>
      <c r="BV61" s="580"/>
      <c r="BW61" s="366"/>
      <c r="BX61"/>
      <c r="BY61"/>
      <c r="BZ61" s="1"/>
      <c r="CA61" s="21"/>
      <c r="CB61" s="605"/>
      <c r="CC61" s="600"/>
      <c r="CD61" s="601"/>
      <c r="CE61" s="329">
        <f t="shared" si="3"/>
        <v>0</v>
      </c>
      <c r="CF61" s="329">
        <f t="shared" si="23"/>
        <v>0</v>
      </c>
      <c r="CG61" s="329">
        <f t="shared" si="24"/>
        <v>0</v>
      </c>
      <c r="CH61" s="329">
        <f t="shared" si="25"/>
      </c>
      <c r="CI61" s="329">
        <f t="shared" si="26"/>
      </c>
      <c r="CJ61" s="329">
        <f t="shared" si="27"/>
      </c>
      <c r="CK61" s="329">
        <f t="shared" si="28"/>
      </c>
      <c r="CL61" s="329">
        <f t="shared" si="29"/>
      </c>
      <c r="CM61" s="485" t="s">
        <v>1006</v>
      </c>
      <c r="CN61" s="724" t="s">
        <v>871</v>
      </c>
      <c r="CO61" s="440"/>
      <c r="CP61" s="392"/>
      <c r="CQ61" s="392"/>
      <c r="CR61" s="393"/>
      <c r="CS61" s="834"/>
      <c r="CT61" s="592"/>
      <c r="CU61" s="21" t="e">
        <f t="shared" si="30"/>
        <v>#DIV/0!</v>
      </c>
      <c r="CV61" s="21" t="e">
        <f t="shared" si="31"/>
        <v>#DIV/0!</v>
      </c>
      <c r="CX61" s="625">
        <f t="shared" si="32"/>
        <v>0</v>
      </c>
      <c r="CY61" s="626">
        <f t="shared" si="33"/>
        <v>0</v>
      </c>
      <c r="CZ61" s="624">
        <f t="shared" si="34"/>
        <v>0</v>
      </c>
      <c r="DA61" s="634">
        <f t="shared" si="35"/>
        <v>0</v>
      </c>
      <c r="DB61" s="591">
        <f t="shared" si="36"/>
        <v>1200000</v>
      </c>
      <c r="DC61" s="591">
        <f t="shared" si="37"/>
        <v>0</v>
      </c>
      <c r="DD61" s="591">
        <v>15000</v>
      </c>
      <c r="DI61" s="54">
        <v>1.6875</v>
      </c>
      <c r="DJ61" s="54">
        <v>6.25</v>
      </c>
      <c r="DK61" s="649">
        <f t="shared" si="38"/>
        <v>0</v>
      </c>
    </row>
    <row r="62" spans="1:115" s="54" customFormat="1" ht="12.75">
      <c r="A62" s="24" t="s">
        <v>710</v>
      </c>
      <c r="B62" s="69"/>
      <c r="C62" s="315" t="s">
        <v>1042</v>
      </c>
      <c r="D62" s="670"/>
      <c r="E62" s="374" t="s">
        <v>1690</v>
      </c>
      <c r="F62" s="15">
        <v>1</v>
      </c>
      <c r="G62" s="18"/>
      <c r="H62" s="732">
        <v>5</v>
      </c>
      <c r="I62" s="323"/>
      <c r="J62" s="737">
        <v>4</v>
      </c>
      <c r="K62" s="188"/>
      <c r="L62" s="867"/>
      <c r="M62" s="895"/>
      <c r="N62" s="106"/>
      <c r="O62" s="455"/>
      <c r="P62" s="531"/>
      <c r="Q62" s="340"/>
      <c r="R62" s="341"/>
      <c r="S62" s="358"/>
      <c r="T62" s="342">
        <v>800</v>
      </c>
      <c r="U62" s="343"/>
      <c r="V62" s="344">
        <v>40</v>
      </c>
      <c r="W62" s="289"/>
      <c r="X62" s="148"/>
      <c r="Y62" s="43"/>
      <c r="Z62" s="44"/>
      <c r="AA62" s="44"/>
      <c r="AB62" s="49"/>
      <c r="AC62" s="345"/>
      <c r="AD62" s="312"/>
      <c r="AE62" s="292"/>
      <c r="AF62" s="46"/>
      <c r="AG62" s="48"/>
      <c r="AH62" s="48"/>
      <c r="AI62" s="47"/>
      <c r="AJ62" s="5"/>
      <c r="AK62" s="727"/>
      <c r="AL62" s="862"/>
      <c r="AM62" s="458"/>
      <c r="AN62" s="295"/>
      <c r="AO62" s="145"/>
      <c r="AP62" s="85"/>
      <c r="AQ62" s="677"/>
      <c r="AR62" s="56"/>
      <c r="AS62" s="34"/>
      <c r="AT62" s="34"/>
      <c r="AU62" s="73"/>
      <c r="AV62" s="39"/>
      <c r="AW62" s="143"/>
      <c r="AX62" s="33"/>
      <c r="AY62" s="34"/>
      <c r="AZ62" s="34"/>
      <c r="BA62" s="84"/>
      <c r="BB62" s="748"/>
      <c r="BC62" s="590"/>
      <c r="BD62" s="588"/>
      <c r="BE62" s="299"/>
      <c r="BF62" s="300"/>
      <c r="BG62" s="112"/>
      <c r="BH62" s="541"/>
      <c r="BI62" s="301">
        <v>4</v>
      </c>
      <c r="BJ62" s="655" t="s">
        <v>870</v>
      </c>
      <c r="BK62" s="36" t="s">
        <v>600</v>
      </c>
      <c r="BL62" s="303" t="s">
        <v>1633</v>
      </c>
      <c r="BM62" s="86" t="s">
        <v>1741</v>
      </c>
      <c r="BN62" s="303" t="s">
        <v>104</v>
      </c>
      <c r="BO62" s="86"/>
      <c r="BP62" s="656"/>
      <c r="BQ62" s="576"/>
      <c r="BR62" s="444"/>
      <c r="BS62" s="365"/>
      <c r="BT62" s="365"/>
      <c r="BU62" s="365"/>
      <c r="BV62" s="580"/>
      <c r="BW62" s="366"/>
      <c r="BX62"/>
      <c r="BY62"/>
      <c r="BZ62" s="1"/>
      <c r="CA62" s="21"/>
      <c r="CB62" s="605"/>
      <c r="CC62" s="610"/>
      <c r="CD62" s="601"/>
      <c r="CE62" s="329">
        <f t="shared" si="3"/>
        <v>0</v>
      </c>
      <c r="CF62" s="329">
        <f t="shared" si="23"/>
        <v>0</v>
      </c>
      <c r="CG62" s="329">
        <f t="shared" si="24"/>
      </c>
      <c r="CH62" s="329">
        <f t="shared" si="25"/>
      </c>
      <c r="CI62" s="329">
        <f t="shared" si="26"/>
      </c>
      <c r="CJ62" s="329">
        <f t="shared" si="27"/>
      </c>
      <c r="CK62" s="329">
        <f t="shared" si="28"/>
      </c>
      <c r="CL62" s="329">
        <f t="shared" si="29"/>
      </c>
      <c r="CM62" s="485" t="s">
        <v>867</v>
      </c>
      <c r="CN62" s="724" t="s">
        <v>871</v>
      </c>
      <c r="CO62" s="440"/>
      <c r="CP62" s="392"/>
      <c r="CQ62" s="392"/>
      <c r="CR62" s="393"/>
      <c r="CS62" s="834"/>
      <c r="CT62" s="592"/>
      <c r="CU62" s="21" t="e">
        <f t="shared" si="30"/>
        <v>#DIV/0!</v>
      </c>
      <c r="CV62" s="21" t="e">
        <f t="shared" si="31"/>
        <v>#DIV/0!</v>
      </c>
      <c r="CX62" s="625">
        <f t="shared" si="32"/>
        <v>0</v>
      </c>
      <c r="CY62" s="626">
        <f t="shared" si="33"/>
        <v>0</v>
      </c>
      <c r="CZ62" s="624">
        <f t="shared" si="34"/>
        <v>0</v>
      </c>
      <c r="DA62" s="634">
        <f t="shared" si="35"/>
        <v>0</v>
      </c>
      <c r="DB62" s="591">
        <f t="shared" si="36"/>
        <v>800000</v>
      </c>
      <c r="DC62" s="591">
        <f t="shared" si="37"/>
        <v>0</v>
      </c>
      <c r="DD62" s="591">
        <v>15000</v>
      </c>
      <c r="DI62" s="54">
        <v>1.6875</v>
      </c>
      <c r="DJ62" s="54">
        <v>6.25</v>
      </c>
      <c r="DK62" s="649">
        <f t="shared" si="38"/>
        <v>0</v>
      </c>
    </row>
    <row r="63" spans="1:115" s="54" customFormat="1" ht="12.75">
      <c r="A63" s="24" t="s">
        <v>1539</v>
      </c>
      <c r="B63" s="69"/>
      <c r="C63" s="315" t="s">
        <v>1042</v>
      </c>
      <c r="D63" s="670"/>
      <c r="E63" s="374" t="s">
        <v>1690</v>
      </c>
      <c r="F63" s="15">
        <v>1</v>
      </c>
      <c r="G63" s="18"/>
      <c r="H63" s="17">
        <v>5</v>
      </c>
      <c r="I63" s="323"/>
      <c r="J63" s="186">
        <v>5</v>
      </c>
      <c r="K63" s="188"/>
      <c r="L63" s="867"/>
      <c r="M63" s="895"/>
      <c r="N63" s="106"/>
      <c r="O63" s="455"/>
      <c r="P63" s="531"/>
      <c r="Q63" s="340"/>
      <c r="R63" s="341"/>
      <c r="S63" s="358"/>
      <c r="T63" s="342">
        <v>800</v>
      </c>
      <c r="U63" s="343"/>
      <c r="V63" s="344">
        <v>40</v>
      </c>
      <c r="W63" s="289"/>
      <c r="X63" s="148"/>
      <c r="Y63" s="43"/>
      <c r="Z63" s="44"/>
      <c r="AA63" s="44"/>
      <c r="AB63" s="49"/>
      <c r="AC63" s="345"/>
      <c r="AD63" s="312"/>
      <c r="AE63" s="292"/>
      <c r="AF63" s="46"/>
      <c r="AG63" s="48"/>
      <c r="AH63" s="48"/>
      <c r="AI63" s="47"/>
      <c r="AJ63" s="5"/>
      <c r="AK63" s="727"/>
      <c r="AL63" s="862"/>
      <c r="AM63" s="458"/>
      <c r="AN63" s="295"/>
      <c r="AO63" s="145"/>
      <c r="AP63" s="85"/>
      <c r="AQ63" s="677"/>
      <c r="AR63" s="56"/>
      <c r="AS63" s="34"/>
      <c r="AT63" s="34"/>
      <c r="AU63" s="73"/>
      <c r="AV63" s="39"/>
      <c r="AW63" s="143"/>
      <c r="AX63" s="33"/>
      <c r="AY63" s="34"/>
      <c r="AZ63" s="34"/>
      <c r="BA63" s="84"/>
      <c r="BB63" s="748"/>
      <c r="BC63" s="590"/>
      <c r="BD63" s="588"/>
      <c r="BE63" s="299"/>
      <c r="BF63" s="300"/>
      <c r="BG63" s="112"/>
      <c r="BH63" s="541"/>
      <c r="BI63" s="301">
        <v>1</v>
      </c>
      <c r="BJ63" s="655" t="s">
        <v>870</v>
      </c>
      <c r="BK63" s="36" t="s">
        <v>1570</v>
      </c>
      <c r="BL63" s="303" t="s">
        <v>1742</v>
      </c>
      <c r="BM63" s="86" t="s">
        <v>1743</v>
      </c>
      <c r="BN63" s="303" t="s">
        <v>104</v>
      </c>
      <c r="BO63" s="86"/>
      <c r="BP63" s="656"/>
      <c r="BQ63" s="576"/>
      <c r="BR63" s="444"/>
      <c r="BS63" s="365"/>
      <c r="BT63" s="365"/>
      <c r="BU63" s="365"/>
      <c r="BV63" s="580"/>
      <c r="BW63" s="366"/>
      <c r="BX63"/>
      <c r="BY63"/>
      <c r="BZ63" s="1"/>
      <c r="CA63" s="21"/>
      <c r="CB63" s="605"/>
      <c r="CC63" s="610"/>
      <c r="CD63" s="601"/>
      <c r="CE63" s="329">
        <f t="shared" si="3"/>
        <v>0</v>
      </c>
      <c r="CF63" s="329">
        <f t="shared" si="23"/>
        <v>0</v>
      </c>
      <c r="CG63" s="329">
        <f t="shared" si="24"/>
      </c>
      <c r="CH63" s="329">
        <f t="shared" si="25"/>
      </c>
      <c r="CI63" s="329">
        <f t="shared" si="26"/>
      </c>
      <c r="CJ63" s="329">
        <f t="shared" si="27"/>
      </c>
      <c r="CK63" s="329">
        <f t="shared" si="28"/>
      </c>
      <c r="CL63" s="329">
        <f t="shared" si="29"/>
      </c>
      <c r="CM63" s="485" t="s">
        <v>867</v>
      </c>
      <c r="CN63" s="724" t="s">
        <v>871</v>
      </c>
      <c r="CO63" s="440"/>
      <c r="CP63" s="392"/>
      <c r="CQ63" s="392"/>
      <c r="CR63" s="393"/>
      <c r="CS63" s="834"/>
      <c r="CT63" s="592"/>
      <c r="CU63" s="21" t="e">
        <f t="shared" si="30"/>
        <v>#DIV/0!</v>
      </c>
      <c r="CV63" s="21" t="e">
        <f t="shared" si="31"/>
        <v>#DIV/0!</v>
      </c>
      <c r="CX63" s="625">
        <f t="shared" si="32"/>
        <v>0</v>
      </c>
      <c r="CY63" s="626">
        <f t="shared" si="33"/>
        <v>0</v>
      </c>
      <c r="CZ63" s="624">
        <f t="shared" si="34"/>
        <v>0</v>
      </c>
      <c r="DA63" s="634">
        <f t="shared" si="35"/>
        <v>0</v>
      </c>
      <c r="DB63" s="591">
        <f t="shared" si="36"/>
        <v>800000</v>
      </c>
      <c r="DC63" s="591">
        <f t="shared" si="37"/>
        <v>0</v>
      </c>
      <c r="DD63" s="591">
        <v>15000</v>
      </c>
      <c r="DI63" s="54">
        <v>1.6875</v>
      </c>
      <c r="DJ63" s="54">
        <v>6.25</v>
      </c>
      <c r="DK63" s="649">
        <f t="shared" si="38"/>
        <v>0</v>
      </c>
    </row>
    <row r="64" spans="1:115" s="54" customFormat="1" ht="12.75">
      <c r="A64" s="24" t="s">
        <v>1540</v>
      </c>
      <c r="B64" s="69"/>
      <c r="C64" s="315" t="s">
        <v>1042</v>
      </c>
      <c r="D64" s="670" t="s">
        <v>214</v>
      </c>
      <c r="E64" s="374" t="s">
        <v>1690</v>
      </c>
      <c r="F64" s="15">
        <v>1</v>
      </c>
      <c r="G64" s="18"/>
      <c r="H64" s="17">
        <v>5</v>
      </c>
      <c r="I64" s="323"/>
      <c r="J64" s="186">
        <v>3</v>
      </c>
      <c r="K64" s="188"/>
      <c r="L64" s="867"/>
      <c r="M64" s="895"/>
      <c r="N64" s="106"/>
      <c r="O64" s="455">
        <v>125</v>
      </c>
      <c r="P64" s="743">
        <v>75</v>
      </c>
      <c r="Q64" s="340"/>
      <c r="R64" s="98"/>
      <c r="S64" s="326"/>
      <c r="T64" s="342">
        <v>800</v>
      </c>
      <c r="U64" s="343"/>
      <c r="V64" s="344">
        <v>40</v>
      </c>
      <c r="W64" s="289"/>
      <c r="X64" s="340"/>
      <c r="Y64" s="43"/>
      <c r="Z64" s="44"/>
      <c r="AA64" s="44"/>
      <c r="AB64" s="49"/>
      <c r="AC64" s="345"/>
      <c r="AD64" s="312"/>
      <c r="AE64" s="292"/>
      <c r="AF64" s="46"/>
      <c r="AG64" s="48"/>
      <c r="AH64" s="48"/>
      <c r="AI64" s="47"/>
      <c r="AJ64" s="5"/>
      <c r="AK64" s="727"/>
      <c r="AL64" s="862"/>
      <c r="AM64" s="458"/>
      <c r="AN64" s="295"/>
      <c r="AO64" s="145"/>
      <c r="AP64" s="85"/>
      <c r="AQ64" s="677"/>
      <c r="AR64" s="56"/>
      <c r="AS64" s="34"/>
      <c r="AT64" s="34"/>
      <c r="AU64" s="73"/>
      <c r="AV64" s="39"/>
      <c r="AW64" s="143"/>
      <c r="AX64" s="33"/>
      <c r="AY64" s="34"/>
      <c r="AZ64" s="34"/>
      <c r="BA64" s="84"/>
      <c r="BB64" s="748"/>
      <c r="BC64" s="590"/>
      <c r="BD64" s="588"/>
      <c r="BE64" s="299"/>
      <c r="BF64" s="300"/>
      <c r="BG64" s="112"/>
      <c r="BH64" s="541"/>
      <c r="BI64" s="301">
        <v>3</v>
      </c>
      <c r="BJ64" s="655" t="s">
        <v>870</v>
      </c>
      <c r="BK64" s="36" t="s">
        <v>304</v>
      </c>
      <c r="BL64" s="303" t="s">
        <v>1318</v>
      </c>
      <c r="BM64" s="86" t="s">
        <v>1319</v>
      </c>
      <c r="BN64" s="303" t="s">
        <v>104</v>
      </c>
      <c r="BO64" s="86"/>
      <c r="BP64" s="656"/>
      <c r="BQ64" s="576"/>
      <c r="BR64" s="444"/>
      <c r="BS64" s="365"/>
      <c r="BT64" s="365"/>
      <c r="BU64" s="365"/>
      <c r="BV64" s="580"/>
      <c r="BW64" s="366"/>
      <c r="BX64"/>
      <c r="BY64"/>
      <c r="BZ64" s="1"/>
      <c r="CA64" s="21"/>
      <c r="CB64" s="605"/>
      <c r="CC64" s="600"/>
      <c r="CD64" s="601"/>
      <c r="CE64" s="329">
        <f t="shared" si="3"/>
        <v>0</v>
      </c>
      <c r="CF64" s="329">
        <f t="shared" si="23"/>
        <v>0</v>
      </c>
      <c r="CG64" s="329">
        <f t="shared" si="24"/>
      </c>
      <c r="CH64" s="329">
        <f t="shared" si="25"/>
      </c>
      <c r="CI64" s="329">
        <f t="shared" si="26"/>
      </c>
      <c r="CJ64" s="329">
        <f t="shared" si="27"/>
      </c>
      <c r="CK64" s="329">
        <f t="shared" si="28"/>
      </c>
      <c r="CL64" s="329">
        <f t="shared" si="29"/>
      </c>
      <c r="CM64" s="485" t="s">
        <v>273</v>
      </c>
      <c r="CN64" s="724" t="s">
        <v>871</v>
      </c>
      <c r="CO64" s="440" t="s">
        <v>1574</v>
      </c>
      <c r="CP64" s="392"/>
      <c r="CQ64" s="392"/>
      <c r="CR64" s="393"/>
      <c r="CS64" s="834"/>
      <c r="CT64" s="592"/>
      <c r="CU64" s="21" t="e">
        <f t="shared" si="30"/>
        <v>#DIV/0!</v>
      </c>
      <c r="CV64" s="21" t="e">
        <f t="shared" si="31"/>
        <v>#DIV/0!</v>
      </c>
      <c r="CX64" s="625">
        <f t="shared" si="32"/>
        <v>0</v>
      </c>
      <c r="CY64" s="623">
        <f t="shared" si="33"/>
        <v>0</v>
      </c>
      <c r="CZ64" s="624">
        <f t="shared" si="34"/>
        <v>0</v>
      </c>
      <c r="DA64" s="634">
        <f t="shared" si="35"/>
        <v>0</v>
      </c>
      <c r="DB64" s="591">
        <f t="shared" si="36"/>
        <v>800000</v>
      </c>
      <c r="DC64" s="591">
        <f t="shared" si="37"/>
        <v>0</v>
      </c>
      <c r="DD64" s="591">
        <v>15000</v>
      </c>
      <c r="DI64" s="54">
        <v>1.6875</v>
      </c>
      <c r="DJ64" s="54">
        <v>6.25</v>
      </c>
      <c r="DK64" s="649">
        <f t="shared" si="38"/>
        <v>0</v>
      </c>
    </row>
    <row r="65" spans="1:115" s="54" customFormat="1" ht="12.75">
      <c r="A65" s="24" t="s">
        <v>805</v>
      </c>
      <c r="B65" s="69"/>
      <c r="C65" s="315" t="s">
        <v>1042</v>
      </c>
      <c r="D65" s="670"/>
      <c r="E65" s="374" t="s">
        <v>1690</v>
      </c>
      <c r="F65" s="15">
        <v>1</v>
      </c>
      <c r="G65" s="18"/>
      <c r="H65" s="17">
        <v>5</v>
      </c>
      <c r="I65" s="323"/>
      <c r="J65" s="738">
        <v>5</v>
      </c>
      <c r="K65" s="188"/>
      <c r="L65" s="867"/>
      <c r="M65" s="895"/>
      <c r="N65" s="106"/>
      <c r="O65" s="455">
        <v>75</v>
      </c>
      <c r="P65" s="531">
        <v>50</v>
      </c>
      <c r="Q65" s="340"/>
      <c r="R65" s="98"/>
      <c r="S65" s="326"/>
      <c r="T65" s="342">
        <v>800</v>
      </c>
      <c r="U65" s="343"/>
      <c r="V65" s="344">
        <v>40</v>
      </c>
      <c r="W65" s="289"/>
      <c r="X65" s="340"/>
      <c r="Y65" s="43"/>
      <c r="Z65" s="44"/>
      <c r="AA65" s="44"/>
      <c r="AB65" s="49"/>
      <c r="AC65" s="345"/>
      <c r="AD65" s="312"/>
      <c r="AE65" s="292"/>
      <c r="AF65" s="46"/>
      <c r="AG65" s="48"/>
      <c r="AH65" s="48"/>
      <c r="AI65" s="47"/>
      <c r="AJ65" s="5"/>
      <c r="AK65" s="727"/>
      <c r="AL65" s="862"/>
      <c r="AM65" s="458"/>
      <c r="AN65" s="295"/>
      <c r="AO65" s="145"/>
      <c r="AP65" s="85"/>
      <c r="AQ65" s="677"/>
      <c r="AR65" s="56"/>
      <c r="AS65" s="34"/>
      <c r="AT65" s="34"/>
      <c r="AU65" s="73"/>
      <c r="AV65" s="39"/>
      <c r="AW65" s="143"/>
      <c r="AX65" s="33"/>
      <c r="AY65" s="34"/>
      <c r="AZ65" s="34"/>
      <c r="BA65" s="84"/>
      <c r="BB65" s="748"/>
      <c r="BC65" s="590"/>
      <c r="BD65" s="588"/>
      <c r="BE65" s="299"/>
      <c r="BF65" s="300"/>
      <c r="BG65" s="112"/>
      <c r="BH65" s="541"/>
      <c r="BI65" s="301">
        <v>2</v>
      </c>
      <c r="BJ65" s="655" t="s">
        <v>870</v>
      </c>
      <c r="BK65" s="36" t="s">
        <v>1570</v>
      </c>
      <c r="BL65" s="303" t="s">
        <v>1770</v>
      </c>
      <c r="BM65" s="86" t="s">
        <v>1320</v>
      </c>
      <c r="BN65" s="303" t="s">
        <v>104</v>
      </c>
      <c r="BO65" s="86"/>
      <c r="BP65" s="656"/>
      <c r="BQ65" s="576"/>
      <c r="BR65" s="444"/>
      <c r="BS65" s="365"/>
      <c r="BT65" s="365"/>
      <c r="BU65" s="365"/>
      <c r="BV65" s="580"/>
      <c r="BW65" s="366"/>
      <c r="BX65"/>
      <c r="BY65"/>
      <c r="BZ65" s="1"/>
      <c r="CA65" s="21"/>
      <c r="CB65" s="605"/>
      <c r="CC65" s="600"/>
      <c r="CD65" s="601"/>
      <c r="CE65" s="329">
        <f t="shared" si="3"/>
        <v>0</v>
      </c>
      <c r="CF65" s="329">
        <f t="shared" si="23"/>
        <v>0</v>
      </c>
      <c r="CG65" s="329">
        <f t="shared" si="24"/>
      </c>
      <c r="CH65" s="329">
        <f t="shared" si="25"/>
      </c>
      <c r="CI65" s="329">
        <f t="shared" si="26"/>
      </c>
      <c r="CJ65" s="329">
        <f t="shared" si="27"/>
      </c>
      <c r="CK65" s="329">
        <f t="shared" si="28"/>
      </c>
      <c r="CL65" s="329">
        <f t="shared" si="29"/>
      </c>
      <c r="CM65" s="485" t="s">
        <v>1006</v>
      </c>
      <c r="CN65" s="724" t="s">
        <v>871</v>
      </c>
      <c r="CO65" s="440"/>
      <c r="CP65" s="392"/>
      <c r="CQ65" s="392"/>
      <c r="CR65" s="393"/>
      <c r="CS65" s="834"/>
      <c r="CT65" s="592"/>
      <c r="CU65" s="21" t="e">
        <f t="shared" si="30"/>
        <v>#DIV/0!</v>
      </c>
      <c r="CV65" s="21" t="e">
        <f t="shared" si="31"/>
        <v>#DIV/0!</v>
      </c>
      <c r="CX65" s="625">
        <f t="shared" si="32"/>
        <v>0</v>
      </c>
      <c r="CY65" s="626">
        <f t="shared" si="33"/>
        <v>0</v>
      </c>
      <c r="CZ65" s="624">
        <f t="shared" si="34"/>
        <v>0</v>
      </c>
      <c r="DA65" s="634">
        <f t="shared" si="35"/>
        <v>0</v>
      </c>
      <c r="DB65" s="591">
        <f t="shared" si="36"/>
        <v>800000</v>
      </c>
      <c r="DC65" s="591">
        <f t="shared" si="37"/>
        <v>0</v>
      </c>
      <c r="DD65" s="591">
        <v>15000</v>
      </c>
      <c r="DI65" s="54">
        <v>1.6875</v>
      </c>
      <c r="DJ65" s="54">
        <v>6.25</v>
      </c>
      <c r="DK65" s="649">
        <f t="shared" si="38"/>
        <v>0</v>
      </c>
    </row>
    <row r="66" spans="1:115" s="54" customFormat="1" ht="12.75">
      <c r="A66" s="24" t="s">
        <v>1528</v>
      </c>
      <c r="B66" s="69"/>
      <c r="C66" s="315" t="s">
        <v>1042</v>
      </c>
      <c r="D66" s="670"/>
      <c r="E66" s="374" t="s">
        <v>1691</v>
      </c>
      <c r="F66" s="15"/>
      <c r="G66" s="18">
        <v>1</v>
      </c>
      <c r="H66" s="17"/>
      <c r="I66" s="323"/>
      <c r="J66" s="324"/>
      <c r="K66" s="188"/>
      <c r="L66" s="867"/>
      <c r="M66" s="895"/>
      <c r="N66" s="106"/>
      <c r="O66" s="455"/>
      <c r="P66" s="531"/>
      <c r="Q66" s="340"/>
      <c r="R66" s="341"/>
      <c r="S66" s="358"/>
      <c r="T66" s="342">
        <v>1400</v>
      </c>
      <c r="U66" s="343"/>
      <c r="V66" s="344">
        <v>40</v>
      </c>
      <c r="W66" s="289">
        <v>0.527</v>
      </c>
      <c r="X66" s="148"/>
      <c r="Y66" s="43"/>
      <c r="Z66" s="44"/>
      <c r="AA66" s="44"/>
      <c r="AB66" s="49"/>
      <c r="AC66" s="345"/>
      <c r="AD66" s="312"/>
      <c r="AE66" s="292"/>
      <c r="AF66" s="46"/>
      <c r="AG66" s="48"/>
      <c r="AH66" s="48"/>
      <c r="AI66" s="47"/>
      <c r="AJ66" s="5"/>
      <c r="AK66" s="727"/>
      <c r="AL66" s="904"/>
      <c r="AM66" s="458"/>
      <c r="AN66" s="295"/>
      <c r="AO66" s="145"/>
      <c r="AP66" s="85"/>
      <c r="AQ66" s="677"/>
      <c r="AR66" s="56"/>
      <c r="AS66" s="34"/>
      <c r="AT66" s="34"/>
      <c r="AU66" s="73"/>
      <c r="AV66" s="39"/>
      <c r="AW66" s="143">
        <v>160</v>
      </c>
      <c r="AX66" s="33"/>
      <c r="AY66" s="34"/>
      <c r="AZ66" s="34"/>
      <c r="BA66" s="84"/>
      <c r="BB66" s="902"/>
      <c r="BC66" s="590"/>
      <c r="BD66" s="588"/>
      <c r="BE66" s="299"/>
      <c r="BF66" s="300"/>
      <c r="BG66" s="112"/>
      <c r="BH66" s="541"/>
      <c r="BI66" s="301">
        <v>3</v>
      </c>
      <c r="BJ66" s="655" t="s">
        <v>870</v>
      </c>
      <c r="BK66" s="36" t="s">
        <v>1564</v>
      </c>
      <c r="BL66" s="303" t="s">
        <v>1615</v>
      </c>
      <c r="BM66" s="86" t="s">
        <v>1616</v>
      </c>
      <c r="BN66" s="303" t="s">
        <v>104</v>
      </c>
      <c r="BO66" s="86"/>
      <c r="BP66" s="656"/>
      <c r="BQ66" s="576"/>
      <c r="BR66" s="444"/>
      <c r="BS66" s="365"/>
      <c r="BT66" s="365"/>
      <c r="BU66" s="365"/>
      <c r="BV66" s="580"/>
      <c r="BW66" s="366"/>
      <c r="BX66"/>
      <c r="BY66"/>
      <c r="BZ66" s="1"/>
      <c r="CA66" s="21"/>
      <c r="CB66" s="605"/>
      <c r="CC66" s="610"/>
      <c r="CD66" s="601"/>
      <c r="CE66" s="329">
        <f t="shared" si="3"/>
        <v>0</v>
      </c>
      <c r="CF66" s="329">
        <f t="shared" si="23"/>
      </c>
      <c r="CG66" s="329">
        <f t="shared" si="24"/>
      </c>
      <c r="CH66" s="329">
        <f t="shared" si="25"/>
      </c>
      <c r="CI66" s="329">
        <f t="shared" si="26"/>
      </c>
      <c r="CJ66" s="329">
        <f t="shared" si="27"/>
      </c>
      <c r="CK66" s="329">
        <f t="shared" si="28"/>
      </c>
      <c r="CL66" s="329">
        <f t="shared" si="29"/>
      </c>
      <c r="CM66" s="485" t="s">
        <v>867</v>
      </c>
      <c r="CN66" s="724" t="s">
        <v>871</v>
      </c>
      <c r="CO66" s="440"/>
      <c r="CP66" s="392"/>
      <c r="CQ66" s="392"/>
      <c r="CR66" s="393"/>
      <c r="CS66" s="834"/>
      <c r="CT66" s="592"/>
      <c r="CU66" s="21" t="e">
        <f t="shared" si="30"/>
        <v>#DIV/0!</v>
      </c>
      <c r="CV66" s="21" t="e">
        <f t="shared" si="31"/>
        <v>#DIV/0!</v>
      </c>
      <c r="CX66" s="625">
        <f t="shared" si="32"/>
        <v>0</v>
      </c>
      <c r="CY66" s="626">
        <f t="shared" si="33"/>
        <v>0</v>
      </c>
      <c r="CZ66" s="624">
        <f t="shared" si="34"/>
        <v>0</v>
      </c>
      <c r="DA66" s="634">
        <f t="shared" si="35"/>
        <v>160</v>
      </c>
      <c r="DB66" s="591">
        <f t="shared" si="36"/>
        <v>1400000</v>
      </c>
      <c r="DC66" s="591">
        <f t="shared" si="37"/>
        <v>200</v>
      </c>
      <c r="DD66" s="591">
        <v>15000</v>
      </c>
      <c r="DI66" s="54">
        <v>1.6875</v>
      </c>
      <c r="DJ66" s="54">
        <v>6.25</v>
      </c>
      <c r="DK66" s="649">
        <f t="shared" si="38"/>
        <v>0.7378000000000001</v>
      </c>
    </row>
    <row r="67" spans="1:115" s="54" customFormat="1" ht="12.75">
      <c r="A67" s="24" t="s">
        <v>711</v>
      </c>
      <c r="B67" s="69"/>
      <c r="C67" s="315" t="s">
        <v>1042</v>
      </c>
      <c r="D67" s="670"/>
      <c r="E67" s="374" t="s">
        <v>1691</v>
      </c>
      <c r="F67" s="15"/>
      <c r="G67" s="18"/>
      <c r="H67" s="17"/>
      <c r="I67" s="323"/>
      <c r="J67" s="324"/>
      <c r="K67" s="188"/>
      <c r="L67" s="867"/>
      <c r="M67" s="895"/>
      <c r="N67" s="106"/>
      <c r="O67" s="455"/>
      <c r="P67" s="531"/>
      <c r="Q67" s="340"/>
      <c r="R67" s="98"/>
      <c r="S67" s="326"/>
      <c r="T67" s="342">
        <v>1400</v>
      </c>
      <c r="U67" s="343"/>
      <c r="V67" s="344">
        <v>40</v>
      </c>
      <c r="W67" s="746">
        <v>0.762</v>
      </c>
      <c r="X67" s="340"/>
      <c r="Y67" s="43"/>
      <c r="Z67" s="44"/>
      <c r="AA67" s="44"/>
      <c r="AB67" s="49"/>
      <c r="AC67" s="345"/>
      <c r="AD67" s="312"/>
      <c r="AE67" s="292"/>
      <c r="AF67" s="46"/>
      <c r="AG67" s="48"/>
      <c r="AH67" s="48"/>
      <c r="AI67" s="47"/>
      <c r="AJ67" s="5"/>
      <c r="AK67" s="727"/>
      <c r="AL67" s="862"/>
      <c r="AM67" s="458"/>
      <c r="AN67" s="295"/>
      <c r="AO67" s="145"/>
      <c r="AP67" s="85"/>
      <c r="AQ67" s="677"/>
      <c r="AR67" s="56"/>
      <c r="AS67" s="34"/>
      <c r="AT67" s="34"/>
      <c r="AU67" s="73"/>
      <c r="AV67" s="39"/>
      <c r="AW67" s="143">
        <v>140</v>
      </c>
      <c r="AX67" s="33"/>
      <c r="AY67" s="34"/>
      <c r="AZ67" s="34"/>
      <c r="BA67" s="84"/>
      <c r="BB67" s="903"/>
      <c r="BC67" s="590"/>
      <c r="BD67" s="588"/>
      <c r="BE67" s="299"/>
      <c r="BF67" s="300"/>
      <c r="BG67" s="112"/>
      <c r="BH67" s="541"/>
      <c r="BI67" s="301">
        <v>4</v>
      </c>
      <c r="BJ67" s="655" t="s">
        <v>870</v>
      </c>
      <c r="BK67" s="36" t="s">
        <v>1715</v>
      </c>
      <c r="BL67" s="303" t="s">
        <v>1775</v>
      </c>
      <c r="BM67" s="86" t="s">
        <v>1714</v>
      </c>
      <c r="BN67" s="303" t="s">
        <v>104</v>
      </c>
      <c r="BO67" s="86"/>
      <c r="BP67" s="656"/>
      <c r="BQ67" s="576"/>
      <c r="BR67" s="444"/>
      <c r="BS67" s="365"/>
      <c r="BT67" s="365"/>
      <c r="BU67" s="365"/>
      <c r="BV67" s="580"/>
      <c r="BW67" s="366"/>
      <c r="BX67"/>
      <c r="BY67"/>
      <c r="BZ67" s="1"/>
      <c r="CA67" s="21"/>
      <c r="CB67" s="605"/>
      <c r="CC67" s="600"/>
      <c r="CD67" s="601"/>
      <c r="CE67" s="329">
        <f aca="true" t="shared" si="42" ref="CE67:CE91">$R67</f>
        <v>0</v>
      </c>
      <c r="CF67" s="329">
        <f t="shared" si="23"/>
      </c>
      <c r="CG67" s="329">
        <f t="shared" si="24"/>
      </c>
      <c r="CH67" s="329">
        <f t="shared" si="25"/>
      </c>
      <c r="CI67" s="329">
        <f t="shared" si="26"/>
      </c>
      <c r="CJ67" s="329">
        <f t="shared" si="27"/>
      </c>
      <c r="CK67" s="329">
        <f t="shared" si="28"/>
      </c>
      <c r="CL67" s="329">
        <f t="shared" si="29"/>
      </c>
      <c r="CM67" s="485" t="s">
        <v>273</v>
      </c>
      <c r="CN67" s="724" t="s">
        <v>871</v>
      </c>
      <c r="CO67" s="440"/>
      <c r="CP67" s="392"/>
      <c r="CQ67" s="392"/>
      <c r="CR67" s="393"/>
      <c r="CS67" s="834"/>
      <c r="CT67" s="592"/>
      <c r="CU67" s="21" t="e">
        <f t="shared" si="30"/>
        <v>#DIV/0!</v>
      </c>
      <c r="CV67" s="21" t="e">
        <f t="shared" si="31"/>
        <v>#DIV/0!</v>
      </c>
      <c r="CX67" s="625">
        <f t="shared" si="32"/>
        <v>0</v>
      </c>
      <c r="CY67" s="623">
        <f t="shared" si="33"/>
        <v>0</v>
      </c>
      <c r="CZ67" s="624">
        <f t="shared" si="34"/>
        <v>0</v>
      </c>
      <c r="DA67" s="634">
        <f t="shared" si="35"/>
        <v>140</v>
      </c>
      <c r="DB67" s="591">
        <f t="shared" si="36"/>
        <v>1400000</v>
      </c>
      <c r="DC67" s="591">
        <f t="shared" si="37"/>
        <v>175</v>
      </c>
      <c r="DD67" s="591">
        <v>15000</v>
      </c>
      <c r="DI67" s="54">
        <v>1.6875</v>
      </c>
      <c r="DJ67" s="54">
        <v>6.25</v>
      </c>
      <c r="DK67" s="649">
        <f t="shared" si="38"/>
        <v>1.0668</v>
      </c>
    </row>
    <row r="68" spans="1:115" s="54" customFormat="1" ht="12.75">
      <c r="A68" s="24" t="s">
        <v>806</v>
      </c>
      <c r="B68" s="69"/>
      <c r="C68" s="315" t="s">
        <v>1042</v>
      </c>
      <c r="D68" s="670"/>
      <c r="E68" s="374" t="s">
        <v>1691</v>
      </c>
      <c r="F68" s="15">
        <v>1</v>
      </c>
      <c r="G68" s="18"/>
      <c r="H68" s="17"/>
      <c r="I68" s="323"/>
      <c r="J68" s="324"/>
      <c r="K68" s="188"/>
      <c r="L68" s="867"/>
      <c r="M68" s="895"/>
      <c r="N68" s="106"/>
      <c r="O68" s="455"/>
      <c r="P68" s="531"/>
      <c r="Q68" s="340"/>
      <c r="R68" s="98"/>
      <c r="S68" s="326"/>
      <c r="T68" s="342">
        <v>1400</v>
      </c>
      <c r="U68" s="343"/>
      <c r="V68" s="344">
        <v>40</v>
      </c>
      <c r="W68" s="289">
        <v>0.586</v>
      </c>
      <c r="X68" s="340"/>
      <c r="Y68" s="43"/>
      <c r="Z68" s="44"/>
      <c r="AA68" s="44"/>
      <c r="AB68" s="49"/>
      <c r="AC68" s="345"/>
      <c r="AD68" s="312"/>
      <c r="AE68" s="292"/>
      <c r="AF68" s="46"/>
      <c r="AG68" s="48"/>
      <c r="AH68" s="48"/>
      <c r="AI68" s="47"/>
      <c r="AJ68" s="5"/>
      <c r="AK68" s="727"/>
      <c r="AL68" s="904"/>
      <c r="AM68" s="458"/>
      <c r="AN68" s="295"/>
      <c r="AO68" s="145"/>
      <c r="AP68" s="85"/>
      <c r="AQ68" s="677"/>
      <c r="AR68" s="56"/>
      <c r="AS68" s="34"/>
      <c r="AT68" s="34"/>
      <c r="AU68" s="73"/>
      <c r="AV68" s="39"/>
      <c r="AW68" s="900">
        <v>180</v>
      </c>
      <c r="AX68" s="33"/>
      <c r="AY68" s="34"/>
      <c r="AZ68" s="34"/>
      <c r="BA68" s="84"/>
      <c r="BB68" s="748"/>
      <c r="BC68" s="590"/>
      <c r="BD68" s="588"/>
      <c r="BE68" s="299"/>
      <c r="BF68" s="300"/>
      <c r="BG68" s="112"/>
      <c r="BH68" s="541"/>
      <c r="BI68" s="301">
        <v>2</v>
      </c>
      <c r="BJ68" s="655" t="s">
        <v>870</v>
      </c>
      <c r="BK68" s="36" t="s">
        <v>1566</v>
      </c>
      <c r="BL68" s="303" t="s">
        <v>807</v>
      </c>
      <c r="BM68" s="86" t="s">
        <v>1809</v>
      </c>
      <c r="BN68" s="303" t="s">
        <v>104</v>
      </c>
      <c r="BO68" s="86"/>
      <c r="BP68" s="656"/>
      <c r="BQ68" s="576"/>
      <c r="BR68" s="444"/>
      <c r="BS68" s="365"/>
      <c r="BT68" s="365"/>
      <c r="BU68" s="365"/>
      <c r="BV68" s="580"/>
      <c r="BW68" s="366"/>
      <c r="BX68"/>
      <c r="BY68"/>
      <c r="BZ68" s="1"/>
      <c r="CA68" s="21"/>
      <c r="CB68" s="605"/>
      <c r="CC68" s="600"/>
      <c r="CD68" s="601"/>
      <c r="CE68" s="329">
        <f t="shared" si="42"/>
        <v>0</v>
      </c>
      <c r="CF68" s="329">
        <f aca="true" t="shared" si="43" ref="CF68:CF91">IF($F68&gt;0,$CE68*$D$95,"")</f>
        <v>0</v>
      </c>
      <c r="CG68" s="329">
        <f aca="true" t="shared" si="44" ref="CG68:CG91">IF($F68&gt;1,$CF68*$D$96,"")</f>
      </c>
      <c r="CH68" s="329">
        <f aca="true" t="shared" si="45" ref="CH68:CH91">IF($F68&gt;2,$CG68*$D$97,"")</f>
      </c>
      <c r="CI68" s="329">
        <f aca="true" t="shared" si="46" ref="CI68:CI91">IF($F68&gt;3,$CH68*$D$98,"")</f>
      </c>
      <c r="CJ68" s="329">
        <f aca="true" t="shared" si="47" ref="CJ68:CJ91">IF($F68&gt;4,$CI68*$D$99,"")</f>
      </c>
      <c r="CK68" s="329">
        <f aca="true" t="shared" si="48" ref="CK68:CK91">IF($F68&gt;5,$CJ68*$D$100,"")</f>
      </c>
      <c r="CL68" s="329">
        <f aca="true" t="shared" si="49" ref="CL68:CL91">IF($F68&gt;6,$CK68*$D$101,"")</f>
      </c>
      <c r="CM68" s="485" t="s">
        <v>273</v>
      </c>
      <c r="CN68" s="724" t="s">
        <v>871</v>
      </c>
      <c r="CO68" s="440"/>
      <c r="CP68" s="392"/>
      <c r="CQ68" s="392"/>
      <c r="CR68" s="393"/>
      <c r="CS68" s="834"/>
      <c r="CT68" s="592"/>
      <c r="CU68" s="21" t="e">
        <f aca="true" t="shared" si="50" ref="CU68:CU91">CT68/CP68</f>
        <v>#DIV/0!</v>
      </c>
      <c r="CV68" s="21" t="e">
        <f aca="true" t="shared" si="51" ref="CV68:CV91">CT68/CQ68</f>
        <v>#DIV/0!</v>
      </c>
      <c r="CX68" s="625">
        <f aca="true" t="shared" si="52" ref="CX68:CX91">SUM(Y68:AB68)</f>
        <v>0</v>
      </c>
      <c r="CY68" s="623">
        <f aca="true" t="shared" si="53" ref="CY68:CY91">SUM(AF68:AI68)</f>
        <v>0</v>
      </c>
      <c r="CZ68" s="624">
        <f aca="true" t="shared" si="54" ref="CZ68:CZ91">AK68</f>
        <v>0</v>
      </c>
      <c r="DA68" s="634">
        <f aca="true" t="shared" si="55" ref="DA68:DA91">AW68</f>
        <v>180</v>
      </c>
      <c r="DB68" s="591">
        <f aca="true" t="shared" si="56" ref="DB68:DB91">T68*1000</f>
        <v>1400000</v>
      </c>
      <c r="DC68" s="591">
        <f aca="true" t="shared" si="57" ref="DC68:DC73">DA68*1.25</f>
        <v>225</v>
      </c>
      <c r="DD68" s="591">
        <v>15000</v>
      </c>
      <c r="DI68" s="54">
        <v>1.6875</v>
      </c>
      <c r="DJ68" s="54">
        <v>6.25</v>
      </c>
      <c r="DK68" s="649">
        <f aca="true" t="shared" si="58" ref="DK68:DK91">T68*W68/1000</f>
        <v>0.8204</v>
      </c>
    </row>
    <row r="69" spans="1:115" s="54" customFormat="1" ht="12.75">
      <c r="A69" s="24" t="s">
        <v>799</v>
      </c>
      <c r="B69" s="69"/>
      <c r="C69" s="315" t="s">
        <v>1042</v>
      </c>
      <c r="D69" s="670" t="s">
        <v>214</v>
      </c>
      <c r="E69" s="374" t="s">
        <v>1691</v>
      </c>
      <c r="F69" s="15">
        <v>1</v>
      </c>
      <c r="G69" s="18"/>
      <c r="H69" s="17"/>
      <c r="I69" s="323"/>
      <c r="J69" s="324"/>
      <c r="K69" s="188"/>
      <c r="L69" s="867"/>
      <c r="M69" s="895"/>
      <c r="N69" s="106"/>
      <c r="O69" s="455"/>
      <c r="P69" s="531"/>
      <c r="Q69" s="340"/>
      <c r="R69" s="98"/>
      <c r="S69" s="326"/>
      <c r="T69" s="342">
        <v>1400</v>
      </c>
      <c r="U69" s="343"/>
      <c r="V69" s="344">
        <v>40</v>
      </c>
      <c r="W69" s="289">
        <v>0.586</v>
      </c>
      <c r="X69" s="340"/>
      <c r="Y69" s="43"/>
      <c r="Z69" s="44"/>
      <c r="AA69" s="44"/>
      <c r="AB69" s="49"/>
      <c r="AC69" s="345"/>
      <c r="AD69" s="312"/>
      <c r="AE69" s="292"/>
      <c r="AF69" s="46"/>
      <c r="AG69" s="48"/>
      <c r="AH69" s="48"/>
      <c r="AI69" s="47"/>
      <c r="AJ69" s="5"/>
      <c r="AK69" s="727"/>
      <c r="AL69" s="862"/>
      <c r="AM69" s="458"/>
      <c r="AN69" s="295"/>
      <c r="AO69" s="145"/>
      <c r="AP69" s="85"/>
      <c r="AQ69" s="677"/>
      <c r="AR69" s="56"/>
      <c r="AS69" s="34"/>
      <c r="AT69" s="34"/>
      <c r="AU69" s="73"/>
      <c r="AV69" s="736"/>
      <c r="AW69" s="901">
        <v>140</v>
      </c>
      <c r="AX69" s="33"/>
      <c r="AY69" s="34"/>
      <c r="AZ69" s="34"/>
      <c r="BA69" s="84"/>
      <c r="BB69" s="748"/>
      <c r="BC69" s="590"/>
      <c r="BD69" s="588"/>
      <c r="BE69" s="299"/>
      <c r="BF69" s="300"/>
      <c r="BG69" s="112"/>
      <c r="BH69" s="541"/>
      <c r="BI69" s="301">
        <v>1</v>
      </c>
      <c r="BJ69" s="655" t="s">
        <v>870</v>
      </c>
      <c r="BK69" s="36" t="s">
        <v>1562</v>
      </c>
      <c r="BL69" s="303" t="s">
        <v>808</v>
      </c>
      <c r="BM69" s="86" t="s">
        <v>1810</v>
      </c>
      <c r="BN69" s="303" t="s">
        <v>104</v>
      </c>
      <c r="BO69" s="86"/>
      <c r="BP69" s="656"/>
      <c r="BQ69" s="576"/>
      <c r="BR69" s="444"/>
      <c r="BS69" s="365"/>
      <c r="BT69" s="365"/>
      <c r="BU69" s="365"/>
      <c r="BV69" s="580"/>
      <c r="BW69" s="366"/>
      <c r="BX69"/>
      <c r="BY69"/>
      <c r="BZ69" s="1"/>
      <c r="CA69" s="21"/>
      <c r="CB69" s="605"/>
      <c r="CC69" s="600"/>
      <c r="CD69" s="601"/>
      <c r="CE69" s="329">
        <f t="shared" si="42"/>
        <v>0</v>
      </c>
      <c r="CF69" s="329">
        <f t="shared" si="43"/>
        <v>0</v>
      </c>
      <c r="CG69" s="329">
        <f t="shared" si="44"/>
      </c>
      <c r="CH69" s="329">
        <f t="shared" si="45"/>
      </c>
      <c r="CI69" s="329">
        <f t="shared" si="46"/>
      </c>
      <c r="CJ69" s="329">
        <f t="shared" si="47"/>
      </c>
      <c r="CK69" s="329">
        <f t="shared" si="48"/>
      </c>
      <c r="CL69" s="329">
        <f t="shared" si="49"/>
      </c>
      <c r="CM69" s="485" t="s">
        <v>1006</v>
      </c>
      <c r="CN69" s="724" t="s">
        <v>871</v>
      </c>
      <c r="CO69" s="440" t="s">
        <v>1574</v>
      </c>
      <c r="CP69" s="392"/>
      <c r="CQ69" s="392"/>
      <c r="CR69" s="393"/>
      <c r="CS69" s="834"/>
      <c r="CT69" s="592"/>
      <c r="CU69" s="21" t="e">
        <f t="shared" si="50"/>
        <v>#DIV/0!</v>
      </c>
      <c r="CV69" s="21" t="e">
        <f t="shared" si="51"/>
        <v>#DIV/0!</v>
      </c>
      <c r="CX69" s="625">
        <f t="shared" si="52"/>
        <v>0</v>
      </c>
      <c r="CY69" s="626">
        <f t="shared" si="53"/>
        <v>0</v>
      </c>
      <c r="CZ69" s="624">
        <f t="shared" si="54"/>
        <v>0</v>
      </c>
      <c r="DA69" s="634">
        <f t="shared" si="55"/>
        <v>140</v>
      </c>
      <c r="DB69" s="591">
        <f t="shared" si="56"/>
        <v>1400000</v>
      </c>
      <c r="DC69" s="591">
        <f t="shared" si="57"/>
        <v>175</v>
      </c>
      <c r="DD69" s="591">
        <v>15000</v>
      </c>
      <c r="DI69" s="54">
        <v>1.6875</v>
      </c>
      <c r="DJ69" s="54">
        <v>6.25</v>
      </c>
      <c r="DK69" s="649">
        <f t="shared" si="58"/>
        <v>0.8204</v>
      </c>
    </row>
    <row r="70" spans="1:115" s="54" customFormat="1" ht="12.75">
      <c r="A70" s="24" t="s">
        <v>876</v>
      </c>
      <c r="B70" s="69" t="s">
        <v>876</v>
      </c>
      <c r="C70" s="319" t="s">
        <v>99</v>
      </c>
      <c r="D70" s="670" t="s">
        <v>302</v>
      </c>
      <c r="E70" s="374" t="s">
        <v>877</v>
      </c>
      <c r="F70" s="15">
        <f aca="true" t="shared" si="59" ref="F70:R70">F71+LOOKUP("x",$D$72:$D$75,F$72:F$75)+LOOKUP("x",$D$76:$D$79,F$76:F$79)+LOOKUP("x",$D$80:$D$83,F$80:F$83)+LOOKUP("x",$D$84:$D$87,F$84:F$87)+LOOKUP("x",$D$88:$D$91,F$88:F$91)</f>
        <v>6</v>
      </c>
      <c r="G70" s="18">
        <f t="shared" si="59"/>
        <v>4</v>
      </c>
      <c r="H70" s="17">
        <f t="shared" si="59"/>
        <v>6</v>
      </c>
      <c r="I70" s="323">
        <f t="shared" si="59"/>
        <v>1</v>
      </c>
      <c r="J70" s="324">
        <f t="shared" si="59"/>
        <v>6</v>
      </c>
      <c r="K70" s="188">
        <f t="shared" si="59"/>
        <v>3</v>
      </c>
      <c r="L70" s="867">
        <f t="shared" si="59"/>
        <v>320</v>
      </c>
      <c r="M70" s="895">
        <f t="shared" si="59"/>
        <v>1200</v>
      </c>
      <c r="N70" s="106">
        <f t="shared" si="59"/>
        <v>400</v>
      </c>
      <c r="O70" s="455">
        <f t="shared" si="59"/>
        <v>0</v>
      </c>
      <c r="P70" s="531">
        <f t="shared" si="59"/>
        <v>0</v>
      </c>
      <c r="Q70" s="340">
        <f t="shared" si="59"/>
        <v>1611</v>
      </c>
      <c r="R70" s="341">
        <f t="shared" si="59"/>
        <v>270</v>
      </c>
      <c r="S70" s="326">
        <f>MAX($CE70:$CL70)</f>
        <v>1159.9115493823238</v>
      </c>
      <c r="T70" s="342">
        <f aca="true" t="shared" si="60" ref="T70:AD70">T71+LOOKUP("x",$D$72:$D$75,T$72:T$75)+LOOKUP("x",$D$76:$D$79,T$76:T$79)+LOOKUP("x",$D$80:$D$83,T$80:T$83)+LOOKUP("x",$D$84:$D$87,T$84:T$87)+LOOKUP("x",$D$88:$D$91,T$88:T$91)</f>
        <v>12540</v>
      </c>
      <c r="U70" s="343">
        <f t="shared" si="60"/>
        <v>80000</v>
      </c>
      <c r="V70" s="344">
        <f t="shared" si="60"/>
        <v>5200</v>
      </c>
      <c r="W70" s="289">
        <f t="shared" si="60"/>
        <v>0.85</v>
      </c>
      <c r="X70" s="148">
        <f t="shared" si="60"/>
        <v>3400</v>
      </c>
      <c r="Y70" s="43">
        <f t="shared" si="60"/>
        <v>90</v>
      </c>
      <c r="Z70" s="44">
        <f t="shared" si="60"/>
        <v>10</v>
      </c>
      <c r="AA70" s="44">
        <f t="shared" si="60"/>
        <v>25</v>
      </c>
      <c r="AB70" s="49">
        <f t="shared" si="60"/>
        <v>67.5</v>
      </c>
      <c r="AC70" s="345">
        <f t="shared" si="60"/>
        <v>2300</v>
      </c>
      <c r="AD70" s="312">
        <f t="shared" si="60"/>
        <v>1630</v>
      </c>
      <c r="AE70" s="292">
        <f>AC70/AD70</f>
        <v>1.4110429447852761</v>
      </c>
      <c r="AF70" s="46">
        <f>AF71+LOOKUP("x",$D$72:$D$75,AF$72:AF$75)+LOOKUP("x",$D$76:$D$79,AF$76:AF$79)+LOOKUP("x",$D$80:$D$83,AF$80:AF$83)+LOOKUP("x",$D$84:$D$87,AF$84:AF$87)+LOOKUP("x",$D$88:$D$91,AF$88:AF$91)</f>
        <v>75</v>
      </c>
      <c r="AG70" s="48">
        <f>AG71+LOOKUP("x",$D$72:$D$75,AG$72:AG$75)+LOOKUP("x",$D$76:$D$79,AG$76:AG$79)+LOOKUP("x",$D$80:$D$83,AG$80:AG$83)+LOOKUP("x",$D$84:$D$87,AG$84:AG$87)+LOOKUP("x",$D$88:$D$91,AG$88:AG$91)</f>
        <v>50</v>
      </c>
      <c r="AH70" s="48">
        <f>AH71+LOOKUP("x",$D$72:$D$75,AH$72:AH$75)+LOOKUP("x",$D$76:$D$79,AH$76:AH$79)+LOOKUP("x",$D$80:$D$83,AH$80:AH$83)+LOOKUP("x",$D$84:$D$87,AH$84:AH$87)+LOOKUP("x",$D$88:$D$91,AH$88:AH$91)</f>
        <v>40</v>
      </c>
      <c r="AI70" s="47">
        <f>AI71+LOOKUP("x",$D$72:$D$75,AI$72:AI$75)+LOOKUP("x",$D$76:$D$79,AI$76:AI$79)+LOOKUP("x",$D$80:$D$83,AI$80:AI$83)+LOOKUP("x",$D$84:$D$87,AI$84:AI$87)+LOOKUP("x",$D$88:$D$91,AI$88:AI$91)</f>
        <v>60</v>
      </c>
      <c r="AJ70" s="5">
        <f>Q70+X70+AC70</f>
        <v>7311</v>
      </c>
      <c r="AK70" s="728" t="str">
        <f>IF($X70=$AC70,"=",IF(MAX($AC70,$X70)*0.1&gt;ABS($X70-$AC70),"~",IF(MAX($AC70,$X70)=$X70,"A","S")))</f>
        <v>A</v>
      </c>
      <c r="AL70" s="862">
        <f>AL71+LOOKUP("x",$D$72:$D$75,AL$72:AL$75)+LOOKUP("x",$D$76:$D$79,AL$76:AL$79)+LOOKUP("x",$D$80:$D$83,AL$80:AL$83)+LOOKUP("x",$D$84:$D$87,AL$84:AL$87)+LOOKUP("x",$D$88:$D$91,AL$88:AL$91)</f>
        <v>1325</v>
      </c>
      <c r="AM70" s="458">
        <f>AM71+LOOKUP("x",$D$72:$D$75,AM$72:AM$75)+LOOKUP("x",$D$76:$D$79,AM$76:AM$79)+LOOKUP("x",$D$80:$D$83,AM$80:AM$83)+LOOKUP("x",$D$84:$D$87,AM$84:AM$87)+LOOKUP("x",$D$88:$D$91,AM$88:AM$91)</f>
        <v>425</v>
      </c>
      <c r="AN70" s="295">
        <f>AL70/AM70</f>
        <v>3.1176470588235294</v>
      </c>
      <c r="AO70" s="145">
        <f aca="true" t="shared" si="61" ref="AO70:BB70">AO71+LOOKUP("x",$D$72:$D$75,AO$72:AO$75)+LOOKUP("x",$D$76:$D$79,AO$76:AO$79)+LOOKUP("x",$D$80:$D$83,AO$80:AO$83)+LOOKUP("x",$D$84:$D$87,AO$84:AO$87)+LOOKUP("x",$D$88:$D$91,AO$88:AO$91)</f>
        <v>50</v>
      </c>
      <c r="AP70" s="85">
        <f t="shared" si="61"/>
        <v>5</v>
      </c>
      <c r="AQ70" s="677">
        <f t="shared" si="61"/>
        <v>300</v>
      </c>
      <c r="AR70" s="56">
        <f t="shared" si="61"/>
        <v>0</v>
      </c>
      <c r="AS70" s="34">
        <f t="shared" si="61"/>
        <v>0</v>
      </c>
      <c r="AT70" s="34">
        <f t="shared" si="61"/>
        <v>0</v>
      </c>
      <c r="AU70" s="73">
        <f t="shared" si="61"/>
        <v>13</v>
      </c>
      <c r="AV70" s="39">
        <f t="shared" si="61"/>
        <v>230</v>
      </c>
      <c r="AW70" s="143">
        <f t="shared" si="61"/>
        <v>190</v>
      </c>
      <c r="AX70" s="33">
        <f t="shared" si="61"/>
        <v>0</v>
      </c>
      <c r="AY70" s="34">
        <f t="shared" si="61"/>
        <v>0</v>
      </c>
      <c r="AZ70" s="34">
        <f t="shared" si="61"/>
        <v>0</v>
      </c>
      <c r="BA70" s="84">
        <f t="shared" si="61"/>
        <v>0</v>
      </c>
      <c r="BB70" s="748">
        <f t="shared" si="61"/>
        <v>3</v>
      </c>
      <c r="BC70" s="590"/>
      <c r="BD70" s="588"/>
      <c r="BE70" s="299"/>
      <c r="BF70" s="300"/>
      <c r="BG70" s="112"/>
      <c r="BH70" s="541"/>
      <c r="BI70" s="301"/>
      <c r="BJ70" s="655" t="s">
        <v>870</v>
      </c>
      <c r="BK70" s="13"/>
      <c r="BL70" s="303"/>
      <c r="BM70" s="86" t="s">
        <v>1413</v>
      </c>
      <c r="BN70" s="303" t="s">
        <v>104</v>
      </c>
      <c r="BO70" s="86"/>
      <c r="BP70" s="445"/>
      <c r="BQ70" s="657"/>
      <c r="BR70" s="585"/>
      <c r="BS70" s="365"/>
      <c r="BT70" s="365"/>
      <c r="BU70" s="365"/>
      <c r="BV70" s="580"/>
      <c r="BW70" s="366"/>
      <c r="BX70"/>
      <c r="BY70"/>
      <c r="BZ70" s="685">
        <f>BZ71+LOOKUP("x",$D$72:$D$75,BZ$72:BZ$75)+LOOKUP("x",$D$76:$D$79,BZ$76:BZ$79)+LOOKUP("x",$D$80:$D$83,BZ$80:BZ$83)+LOOKUP("x",$D$84:$D$87,BZ$84:BZ$87)+LOOKUP("x",$D$88:$D$91,BZ$88:BZ$91)</f>
        <v>246</v>
      </c>
      <c r="CA70" s="21"/>
      <c r="CB70" s="605"/>
      <c r="CC70" s="600"/>
      <c r="CD70" s="601"/>
      <c r="CE70" s="329">
        <f t="shared" si="42"/>
        <v>270</v>
      </c>
      <c r="CF70" s="329">
        <f t="shared" si="43"/>
        <v>344.25</v>
      </c>
      <c r="CG70" s="329">
        <f t="shared" si="44"/>
        <v>438.91875</v>
      </c>
      <c r="CH70" s="329">
        <f t="shared" si="45"/>
        <v>559.62140625</v>
      </c>
      <c r="CI70" s="329">
        <f t="shared" si="46"/>
        <v>713.5172929687499</v>
      </c>
      <c r="CJ70" s="329">
        <f t="shared" si="47"/>
        <v>909.734548535156</v>
      </c>
      <c r="CK70" s="329">
        <f t="shared" si="48"/>
        <v>1159.9115493823238</v>
      </c>
      <c r="CL70" s="329">
        <f t="shared" si="49"/>
      </c>
      <c r="CM70" s="485" t="s">
        <v>1777</v>
      </c>
      <c r="CN70" s="724" t="s">
        <v>871</v>
      </c>
      <c r="CO70" s="835" t="s">
        <v>302</v>
      </c>
      <c r="CP70" s="836" t="s">
        <v>302</v>
      </c>
      <c r="CQ70" s="836" t="s">
        <v>302</v>
      </c>
      <c r="CR70" s="837" t="s">
        <v>302</v>
      </c>
      <c r="CS70" s="838" t="s">
        <v>302</v>
      </c>
      <c r="CT70" s="592"/>
      <c r="CU70" s="21" t="e">
        <f t="shared" si="50"/>
        <v>#VALUE!</v>
      </c>
      <c r="CV70" s="21" t="e">
        <f t="shared" si="51"/>
        <v>#VALUE!</v>
      </c>
      <c r="CX70" s="625">
        <f t="shared" si="52"/>
        <v>192.5</v>
      </c>
      <c r="CY70" s="623">
        <f t="shared" si="53"/>
        <v>225</v>
      </c>
      <c r="CZ70" s="624" t="str">
        <f t="shared" si="54"/>
        <v>A</v>
      </c>
      <c r="DA70" s="634">
        <f t="shared" si="55"/>
        <v>190</v>
      </c>
      <c r="DB70" s="591">
        <f t="shared" si="56"/>
        <v>12540000</v>
      </c>
      <c r="DC70" s="591">
        <f t="shared" si="57"/>
        <v>237.5</v>
      </c>
      <c r="DD70" s="591">
        <v>15000</v>
      </c>
      <c r="DI70" s="54">
        <v>1.6875</v>
      </c>
      <c r="DJ70" s="54">
        <v>6.25</v>
      </c>
      <c r="DK70" s="649">
        <f t="shared" si="58"/>
        <v>10.659</v>
      </c>
    </row>
    <row r="71" spans="1:115" s="54" customFormat="1" ht="12.75">
      <c r="A71" s="24" t="s">
        <v>876</v>
      </c>
      <c r="B71" s="69" t="s">
        <v>876</v>
      </c>
      <c r="C71" s="319" t="s">
        <v>99</v>
      </c>
      <c r="D71" s="670" t="s">
        <v>214</v>
      </c>
      <c r="E71" s="374" t="s">
        <v>878</v>
      </c>
      <c r="F71" s="15"/>
      <c r="G71" s="18"/>
      <c r="H71" s="17"/>
      <c r="I71" s="323"/>
      <c r="J71" s="324"/>
      <c r="K71" s="188">
        <v>3</v>
      </c>
      <c r="L71" s="867"/>
      <c r="M71" s="895"/>
      <c r="N71" s="106">
        <v>400</v>
      </c>
      <c r="O71" s="455"/>
      <c r="P71" s="531"/>
      <c r="Q71" s="340">
        <v>1611</v>
      </c>
      <c r="R71" s="98"/>
      <c r="S71" s="326"/>
      <c r="T71" s="342">
        <v>6540</v>
      </c>
      <c r="U71" s="343">
        <v>80000</v>
      </c>
      <c r="V71" s="344">
        <v>5000</v>
      </c>
      <c r="W71" s="289">
        <v>0.35</v>
      </c>
      <c r="X71" s="340">
        <v>100</v>
      </c>
      <c r="Y71" s="43"/>
      <c r="Z71" s="44"/>
      <c r="AA71" s="44"/>
      <c r="AB71" s="49"/>
      <c r="AC71" s="345">
        <v>100</v>
      </c>
      <c r="AD71" s="312">
        <v>10</v>
      </c>
      <c r="AE71" s="292"/>
      <c r="AF71" s="46"/>
      <c r="AG71" s="48"/>
      <c r="AH71" s="48"/>
      <c r="AI71" s="47"/>
      <c r="AJ71" s="5"/>
      <c r="AK71" s="727"/>
      <c r="AL71" s="862">
        <v>100</v>
      </c>
      <c r="AM71" s="458">
        <v>10</v>
      </c>
      <c r="AN71" s="295"/>
      <c r="AO71" s="145"/>
      <c r="AP71" s="85" t="s">
        <v>1267</v>
      </c>
      <c r="AQ71" s="677"/>
      <c r="AR71" s="56"/>
      <c r="AS71" s="34"/>
      <c r="AT71" s="34"/>
      <c r="AU71" s="73"/>
      <c r="AV71" s="39">
        <v>100</v>
      </c>
      <c r="AW71" s="143">
        <v>10</v>
      </c>
      <c r="AX71" s="33"/>
      <c r="AY71" s="34"/>
      <c r="AZ71" s="34"/>
      <c r="BA71" s="84"/>
      <c r="BB71" s="748">
        <v>3</v>
      </c>
      <c r="BC71" s="590"/>
      <c r="BD71" s="588"/>
      <c r="BE71" s="299"/>
      <c r="BF71" s="300"/>
      <c r="BG71" s="112"/>
      <c r="BH71" s="541"/>
      <c r="BI71" s="301"/>
      <c r="BJ71" s="655" t="s">
        <v>870</v>
      </c>
      <c r="BK71" s="13"/>
      <c r="BL71" s="303" t="s">
        <v>1414</v>
      </c>
      <c r="BM71" s="86"/>
      <c r="BN71" s="303" t="s">
        <v>104</v>
      </c>
      <c r="BO71" s="86"/>
      <c r="BP71" s="445"/>
      <c r="BQ71" s="657"/>
      <c r="BR71" s="585"/>
      <c r="BS71" s="365"/>
      <c r="BT71" s="365"/>
      <c r="BU71" s="365"/>
      <c r="BV71" s="580"/>
      <c r="BW71" s="366"/>
      <c r="BX71"/>
      <c r="BY71"/>
      <c r="BZ71" s="608">
        <v>246</v>
      </c>
      <c r="CA71" s="21"/>
      <c r="CB71" s="605"/>
      <c r="CC71" s="600"/>
      <c r="CD71" s="601"/>
      <c r="CE71" s="329">
        <f t="shared" si="42"/>
        <v>0</v>
      </c>
      <c r="CF71" s="329">
        <f t="shared" si="43"/>
      </c>
      <c r="CG71" s="329">
        <f t="shared" si="44"/>
      </c>
      <c r="CH71" s="329">
        <f t="shared" si="45"/>
      </c>
      <c r="CI71" s="329">
        <f t="shared" si="46"/>
      </c>
      <c r="CJ71" s="329">
        <f t="shared" si="47"/>
      </c>
      <c r="CK71" s="329">
        <f t="shared" si="48"/>
      </c>
      <c r="CL71" s="329">
        <f t="shared" si="49"/>
      </c>
      <c r="CM71" s="485" t="s">
        <v>1639</v>
      </c>
      <c r="CN71" s="724" t="s">
        <v>871</v>
      </c>
      <c r="CO71" s="440"/>
      <c r="CP71" s="392"/>
      <c r="CQ71" s="392"/>
      <c r="CR71" s="393"/>
      <c r="CS71" s="834"/>
      <c r="CT71" s="592"/>
      <c r="CU71" s="21" t="e">
        <f t="shared" si="50"/>
        <v>#DIV/0!</v>
      </c>
      <c r="CV71" s="21" t="e">
        <f t="shared" si="51"/>
        <v>#DIV/0!</v>
      </c>
      <c r="CX71" s="625">
        <f t="shared" si="52"/>
        <v>0</v>
      </c>
      <c r="CY71" s="623">
        <f t="shared" si="53"/>
        <v>0</v>
      </c>
      <c r="CZ71" s="624">
        <f t="shared" si="54"/>
        <v>0</v>
      </c>
      <c r="DA71" s="634">
        <f t="shared" si="55"/>
        <v>10</v>
      </c>
      <c r="DB71" s="591">
        <f t="shared" si="56"/>
        <v>6540000</v>
      </c>
      <c r="DC71" s="591">
        <f t="shared" si="57"/>
        <v>12.5</v>
      </c>
      <c r="DD71" s="591">
        <v>15000</v>
      </c>
      <c r="DI71" s="54">
        <v>1.6875</v>
      </c>
      <c r="DJ71" s="54">
        <v>6.25</v>
      </c>
      <c r="DK71" s="649">
        <f t="shared" si="58"/>
        <v>2.289</v>
      </c>
    </row>
    <row r="72" spans="1:115" s="54" customFormat="1" ht="12.75">
      <c r="A72" s="24" t="s">
        <v>360</v>
      </c>
      <c r="B72" s="69"/>
      <c r="C72" s="319" t="s">
        <v>99</v>
      </c>
      <c r="D72" s="670" t="s">
        <v>214</v>
      </c>
      <c r="E72" s="374" t="s">
        <v>1688</v>
      </c>
      <c r="F72" s="15">
        <v>1</v>
      </c>
      <c r="G72" s="18">
        <v>1</v>
      </c>
      <c r="H72" s="17"/>
      <c r="I72" s="323"/>
      <c r="J72" s="324"/>
      <c r="K72" s="188"/>
      <c r="L72" s="867"/>
      <c r="M72" s="895">
        <v>150</v>
      </c>
      <c r="N72" s="106"/>
      <c r="O72" s="455"/>
      <c r="P72" s="531"/>
      <c r="Q72" s="340"/>
      <c r="R72" s="98">
        <v>270</v>
      </c>
      <c r="S72" s="326"/>
      <c r="T72" s="342">
        <v>1400</v>
      </c>
      <c r="U72" s="343"/>
      <c r="V72" s="344">
        <v>40</v>
      </c>
      <c r="W72" s="289"/>
      <c r="X72" s="340">
        <v>3300</v>
      </c>
      <c r="Y72" s="729">
        <v>90</v>
      </c>
      <c r="Z72" s="730">
        <v>10</v>
      </c>
      <c r="AA72" s="730">
        <v>25</v>
      </c>
      <c r="AB72" s="731">
        <v>67.5</v>
      </c>
      <c r="AC72" s="345">
        <v>2200</v>
      </c>
      <c r="AD72" s="312">
        <v>1620</v>
      </c>
      <c r="AE72" s="292"/>
      <c r="AF72" s="46">
        <v>75</v>
      </c>
      <c r="AG72" s="48">
        <v>50</v>
      </c>
      <c r="AH72" s="48">
        <v>40</v>
      </c>
      <c r="AI72" s="47">
        <v>60</v>
      </c>
      <c r="AJ72" s="5"/>
      <c r="AK72" s="727"/>
      <c r="AL72" s="862"/>
      <c r="AM72" s="458"/>
      <c r="AN72" s="295"/>
      <c r="AO72" s="145"/>
      <c r="AP72" s="85"/>
      <c r="AQ72" s="677"/>
      <c r="AR72" s="56"/>
      <c r="AS72" s="34"/>
      <c r="AT72" s="34"/>
      <c r="AU72" s="73"/>
      <c r="AV72" s="39">
        <v>130</v>
      </c>
      <c r="AW72" s="143"/>
      <c r="AX72" s="33"/>
      <c r="AY72" s="34"/>
      <c r="AZ72" s="34"/>
      <c r="BA72" s="84"/>
      <c r="BB72" s="748"/>
      <c r="BC72" s="590"/>
      <c r="BD72" s="588"/>
      <c r="BE72" s="299"/>
      <c r="BF72" s="300"/>
      <c r="BG72" s="112"/>
      <c r="BH72" s="541"/>
      <c r="BI72" s="301">
        <v>2</v>
      </c>
      <c r="BJ72" s="655" t="s">
        <v>870</v>
      </c>
      <c r="BK72" s="36" t="s">
        <v>755</v>
      </c>
      <c r="BL72" s="303" t="s">
        <v>1415</v>
      </c>
      <c r="BM72" s="86" t="s">
        <v>1500</v>
      </c>
      <c r="BN72" s="303" t="s">
        <v>104</v>
      </c>
      <c r="BO72" s="86"/>
      <c r="BP72" s="445"/>
      <c r="BQ72" s="657"/>
      <c r="BR72" s="585"/>
      <c r="BS72" s="365"/>
      <c r="BT72" s="365"/>
      <c r="BU72" s="365"/>
      <c r="BV72" s="580"/>
      <c r="BW72" s="366"/>
      <c r="BX72"/>
      <c r="BY72"/>
      <c r="BZ72" s="1"/>
      <c r="CA72" s="21"/>
      <c r="CB72" s="605"/>
      <c r="CC72" s="600"/>
      <c r="CD72" s="601"/>
      <c r="CE72" s="329">
        <f t="shared" si="42"/>
        <v>270</v>
      </c>
      <c r="CF72" s="329">
        <f t="shared" si="43"/>
        <v>344.25</v>
      </c>
      <c r="CG72" s="329">
        <f t="shared" si="44"/>
      </c>
      <c r="CH72" s="329">
        <f t="shared" si="45"/>
      </c>
      <c r="CI72" s="329">
        <f t="shared" si="46"/>
      </c>
      <c r="CJ72" s="329">
        <f t="shared" si="47"/>
      </c>
      <c r="CK72" s="329">
        <f t="shared" si="48"/>
      </c>
      <c r="CL72" s="329">
        <f t="shared" si="49"/>
      </c>
      <c r="CM72" s="485" t="s">
        <v>1639</v>
      </c>
      <c r="CN72" s="724" t="s">
        <v>871</v>
      </c>
      <c r="CO72" s="440" t="s">
        <v>705</v>
      </c>
      <c r="CP72" s="392" t="s">
        <v>706</v>
      </c>
      <c r="CQ72" s="392"/>
      <c r="CR72" s="393"/>
      <c r="CS72" s="834"/>
      <c r="CT72" s="592"/>
      <c r="CU72" s="21" t="e">
        <f t="shared" si="50"/>
        <v>#VALUE!</v>
      </c>
      <c r="CV72" s="21" t="e">
        <f t="shared" si="51"/>
        <v>#DIV/0!</v>
      </c>
      <c r="CX72" s="625">
        <f t="shared" si="52"/>
        <v>192.5</v>
      </c>
      <c r="CY72" s="623">
        <f t="shared" si="53"/>
        <v>225</v>
      </c>
      <c r="CZ72" s="624">
        <f t="shared" si="54"/>
        <v>0</v>
      </c>
      <c r="DA72" s="634">
        <f t="shared" si="55"/>
        <v>0</v>
      </c>
      <c r="DB72" s="591">
        <f t="shared" si="56"/>
        <v>1400000</v>
      </c>
      <c r="DC72" s="591">
        <f t="shared" si="57"/>
        <v>0</v>
      </c>
      <c r="DD72" s="591">
        <v>15000</v>
      </c>
      <c r="DI72" s="54">
        <v>1.6875</v>
      </c>
      <c r="DJ72" s="54">
        <v>6.25</v>
      </c>
      <c r="DK72" s="649">
        <f t="shared" si="58"/>
        <v>0</v>
      </c>
    </row>
    <row r="73" spans="1:115" s="54" customFormat="1" ht="12.75">
      <c r="A73" s="24" t="s">
        <v>365</v>
      </c>
      <c r="B73" s="69"/>
      <c r="C73" s="319" t="s">
        <v>99</v>
      </c>
      <c r="D73" s="670"/>
      <c r="E73" s="374" t="s">
        <v>1688</v>
      </c>
      <c r="F73" s="15"/>
      <c r="G73" s="18">
        <v>1</v>
      </c>
      <c r="H73" s="732">
        <v>1</v>
      </c>
      <c r="I73" s="323"/>
      <c r="J73" s="324"/>
      <c r="K73" s="188"/>
      <c r="L73" s="867">
        <v>50</v>
      </c>
      <c r="M73" s="895"/>
      <c r="N73" s="106"/>
      <c r="O73" s="455"/>
      <c r="P73" s="531"/>
      <c r="Q73" s="340"/>
      <c r="R73" s="98">
        <v>280</v>
      </c>
      <c r="S73" s="326"/>
      <c r="T73" s="342">
        <v>1400</v>
      </c>
      <c r="U73" s="343"/>
      <c r="V73" s="344">
        <v>40</v>
      </c>
      <c r="W73" s="289"/>
      <c r="X73" s="340">
        <v>2050</v>
      </c>
      <c r="Y73" s="46">
        <v>90</v>
      </c>
      <c r="Z73" s="48">
        <v>10</v>
      </c>
      <c r="AA73" s="48">
        <v>25</v>
      </c>
      <c r="AB73" s="50">
        <v>67.5</v>
      </c>
      <c r="AC73" s="345">
        <v>3100</v>
      </c>
      <c r="AD73" s="312">
        <v>1620</v>
      </c>
      <c r="AE73" s="292"/>
      <c r="AF73" s="729">
        <v>75</v>
      </c>
      <c r="AG73" s="730">
        <v>50</v>
      </c>
      <c r="AH73" s="730">
        <v>40</v>
      </c>
      <c r="AI73" s="745">
        <v>60</v>
      </c>
      <c r="AJ73" s="5"/>
      <c r="AK73" s="727"/>
      <c r="AL73" s="862"/>
      <c r="AM73" s="458"/>
      <c r="AN73" s="295"/>
      <c r="AO73" s="145"/>
      <c r="AP73" s="85"/>
      <c r="AQ73" s="677"/>
      <c r="AR73" s="56"/>
      <c r="AS73" s="34"/>
      <c r="AT73" s="34"/>
      <c r="AU73" s="73"/>
      <c r="AV73" s="39">
        <v>143</v>
      </c>
      <c r="AW73" s="143"/>
      <c r="AX73" s="33"/>
      <c r="AY73" s="34"/>
      <c r="AZ73" s="34"/>
      <c r="BA73" s="84"/>
      <c r="BB73" s="748"/>
      <c r="BC73" s="590"/>
      <c r="BD73" s="588"/>
      <c r="BE73" s="299"/>
      <c r="BF73" s="300"/>
      <c r="BG73" s="112"/>
      <c r="BH73" s="541"/>
      <c r="BI73" s="301">
        <v>1</v>
      </c>
      <c r="BJ73" s="655" t="s">
        <v>870</v>
      </c>
      <c r="BK73" s="36" t="s">
        <v>1563</v>
      </c>
      <c r="BL73" s="303" t="s">
        <v>369</v>
      </c>
      <c r="BM73" s="86" t="s">
        <v>1621</v>
      </c>
      <c r="BN73" s="303" t="s">
        <v>104</v>
      </c>
      <c r="BO73" s="86"/>
      <c r="BP73" s="445"/>
      <c r="BQ73" s="657"/>
      <c r="BR73" s="585"/>
      <c r="BS73" s="365"/>
      <c r="BT73" s="365"/>
      <c r="BU73" s="365"/>
      <c r="BV73" s="580"/>
      <c r="BW73" s="366"/>
      <c r="BX73" s="378"/>
      <c r="BY73"/>
      <c r="BZ73" s="1"/>
      <c r="CA73" s="21"/>
      <c r="CB73" s="605"/>
      <c r="CC73" s="610"/>
      <c r="CD73" s="601"/>
      <c r="CE73" s="329">
        <f t="shared" si="42"/>
        <v>280</v>
      </c>
      <c r="CF73" s="329">
        <f t="shared" si="43"/>
      </c>
      <c r="CG73" s="329">
        <f t="shared" si="44"/>
      </c>
      <c r="CH73" s="329">
        <f t="shared" si="45"/>
      </c>
      <c r="CI73" s="329">
        <f t="shared" si="46"/>
      </c>
      <c r="CJ73" s="329">
        <f t="shared" si="47"/>
      </c>
      <c r="CK73" s="329">
        <f t="shared" si="48"/>
      </c>
      <c r="CL73" s="329">
        <f t="shared" si="49"/>
      </c>
      <c r="CM73" s="485" t="s">
        <v>8</v>
      </c>
      <c r="CN73" s="724" t="s">
        <v>871</v>
      </c>
      <c r="CO73" s="440"/>
      <c r="CP73" s="392"/>
      <c r="CQ73" s="392"/>
      <c r="CR73" s="393"/>
      <c r="CS73" s="834"/>
      <c r="CT73" s="592"/>
      <c r="CU73" s="21" t="e">
        <f t="shared" si="50"/>
        <v>#DIV/0!</v>
      </c>
      <c r="CV73" s="21" t="e">
        <f t="shared" si="51"/>
        <v>#DIV/0!</v>
      </c>
      <c r="CX73" s="625">
        <f t="shared" si="52"/>
        <v>192.5</v>
      </c>
      <c r="CY73" s="623">
        <f t="shared" si="53"/>
        <v>225</v>
      </c>
      <c r="CZ73" s="624">
        <f t="shared" si="54"/>
        <v>0</v>
      </c>
      <c r="DA73" s="634">
        <f t="shared" si="55"/>
        <v>0</v>
      </c>
      <c r="DB73" s="591">
        <f t="shared" si="56"/>
        <v>1400000</v>
      </c>
      <c r="DC73" s="591">
        <f t="shared" si="57"/>
        <v>0</v>
      </c>
      <c r="DD73" s="591">
        <v>15000</v>
      </c>
      <c r="DI73" s="54">
        <v>1.6875</v>
      </c>
      <c r="DJ73" s="54">
        <v>6.25</v>
      </c>
      <c r="DK73" s="649">
        <f t="shared" si="58"/>
        <v>0</v>
      </c>
    </row>
    <row r="74" spans="1:115" s="54" customFormat="1" ht="12.75">
      <c r="A74" s="24" t="s">
        <v>1417</v>
      </c>
      <c r="B74" s="69"/>
      <c r="C74" s="319" t="s">
        <v>99</v>
      </c>
      <c r="D74" s="670"/>
      <c r="E74" s="374" t="s">
        <v>1688</v>
      </c>
      <c r="F74" s="15">
        <v>1</v>
      </c>
      <c r="G74" s="18">
        <v>1</v>
      </c>
      <c r="H74" s="17"/>
      <c r="I74" s="323"/>
      <c r="J74" s="324"/>
      <c r="K74" s="188"/>
      <c r="L74" s="867"/>
      <c r="M74" s="895"/>
      <c r="N74" s="106"/>
      <c r="O74" s="455"/>
      <c r="P74" s="531"/>
      <c r="Q74" s="340"/>
      <c r="R74" s="98">
        <v>300</v>
      </c>
      <c r="S74" s="326"/>
      <c r="T74" s="342">
        <v>1400</v>
      </c>
      <c r="U74" s="343"/>
      <c r="V74" s="344">
        <v>40</v>
      </c>
      <c r="W74" s="289"/>
      <c r="X74" s="340">
        <v>1650</v>
      </c>
      <c r="Y74" s="46">
        <v>90</v>
      </c>
      <c r="Z74" s="48">
        <v>10</v>
      </c>
      <c r="AA74" s="48">
        <v>25</v>
      </c>
      <c r="AB74" s="50">
        <v>67.5</v>
      </c>
      <c r="AC74" s="345">
        <v>2500</v>
      </c>
      <c r="AD74" s="312">
        <v>1620</v>
      </c>
      <c r="AE74" s="292"/>
      <c r="AF74" s="46">
        <v>75</v>
      </c>
      <c r="AG74" s="48">
        <v>50</v>
      </c>
      <c r="AH74" s="48">
        <v>40</v>
      </c>
      <c r="AI74" s="47">
        <v>60</v>
      </c>
      <c r="AJ74" s="5"/>
      <c r="AK74" s="727"/>
      <c r="AL74" s="862"/>
      <c r="AM74" s="458"/>
      <c r="AN74" s="295"/>
      <c r="AO74" s="145"/>
      <c r="AP74" s="85"/>
      <c r="AQ74" s="677"/>
      <c r="AR74" s="56"/>
      <c r="AS74" s="34"/>
      <c r="AT74" s="34"/>
      <c r="AU74" s="73"/>
      <c r="AV74" s="736">
        <v>130</v>
      </c>
      <c r="AW74" s="143"/>
      <c r="AX74" s="33"/>
      <c r="AY74" s="34"/>
      <c r="AZ74" s="34"/>
      <c r="BA74" s="84"/>
      <c r="BB74" s="748"/>
      <c r="BC74" s="590"/>
      <c r="BD74" s="588"/>
      <c r="BE74" s="299"/>
      <c r="BF74" s="300"/>
      <c r="BG74" s="112"/>
      <c r="BH74" s="541"/>
      <c r="BI74" s="301">
        <v>3</v>
      </c>
      <c r="BJ74" s="655" t="s">
        <v>870</v>
      </c>
      <c r="BK74" s="36" t="s">
        <v>1567</v>
      </c>
      <c r="BL74" s="303" t="s">
        <v>1416</v>
      </c>
      <c r="BM74" s="86" t="s">
        <v>1501</v>
      </c>
      <c r="BN74" s="303" t="s">
        <v>104</v>
      </c>
      <c r="BO74" s="86"/>
      <c r="BP74" s="445"/>
      <c r="BQ74" s="657"/>
      <c r="BR74" s="585"/>
      <c r="BS74" s="365"/>
      <c r="BT74" s="365"/>
      <c r="BU74" s="365"/>
      <c r="BV74" s="580"/>
      <c r="BW74" s="366"/>
      <c r="BX74"/>
      <c r="BY74"/>
      <c r="BZ74" s="1"/>
      <c r="CA74" s="21"/>
      <c r="CB74" s="605"/>
      <c r="CC74" s="600"/>
      <c r="CD74" s="601"/>
      <c r="CE74" s="329">
        <f t="shared" si="42"/>
        <v>300</v>
      </c>
      <c r="CF74" s="329">
        <f t="shared" si="43"/>
        <v>382.5</v>
      </c>
      <c r="CG74" s="329">
        <f t="shared" si="44"/>
      </c>
      <c r="CH74" s="329">
        <f t="shared" si="45"/>
      </c>
      <c r="CI74" s="329">
        <f t="shared" si="46"/>
      </c>
      <c r="CJ74" s="329">
        <f t="shared" si="47"/>
      </c>
      <c r="CK74" s="329">
        <f t="shared" si="48"/>
      </c>
      <c r="CL74" s="329">
        <f t="shared" si="49"/>
      </c>
      <c r="CM74" s="485" t="s">
        <v>1066</v>
      </c>
      <c r="CN74" s="724" t="s">
        <v>871</v>
      </c>
      <c r="CO74" s="440"/>
      <c r="CP74" s="392"/>
      <c r="CQ74" s="392"/>
      <c r="CR74" s="393"/>
      <c r="CS74" s="834"/>
      <c r="CT74" s="592"/>
      <c r="CU74" s="21" t="e">
        <f t="shared" si="50"/>
        <v>#DIV/0!</v>
      </c>
      <c r="CV74" s="21" t="e">
        <f t="shared" si="51"/>
        <v>#DIV/0!</v>
      </c>
      <c r="CX74" s="622">
        <f t="shared" si="52"/>
        <v>192.5</v>
      </c>
      <c r="CY74" s="623">
        <f t="shared" si="53"/>
        <v>225</v>
      </c>
      <c r="CZ74" s="624">
        <f t="shared" si="54"/>
        <v>0</v>
      </c>
      <c r="DA74" s="634">
        <f t="shared" si="55"/>
        <v>0</v>
      </c>
      <c r="DB74" s="591">
        <f t="shared" si="56"/>
        <v>1400000</v>
      </c>
      <c r="DC74" s="591">
        <f>DA74*1.25*1.25</f>
        <v>0</v>
      </c>
      <c r="DD74" s="591">
        <v>15000</v>
      </c>
      <c r="DI74" s="54">
        <v>1.6875</v>
      </c>
      <c r="DJ74" s="54">
        <v>6.25</v>
      </c>
      <c r="DK74" s="649">
        <f t="shared" si="58"/>
        <v>0</v>
      </c>
    </row>
    <row r="75" spans="1:115" s="54" customFormat="1" ht="12.75">
      <c r="A75" s="24" t="s">
        <v>707</v>
      </c>
      <c r="B75" s="69"/>
      <c r="C75" s="319" t="s">
        <v>99</v>
      </c>
      <c r="D75" s="670"/>
      <c r="E75" s="374" t="s">
        <v>1688</v>
      </c>
      <c r="F75" s="15"/>
      <c r="G75" s="18">
        <v>1</v>
      </c>
      <c r="H75" s="732">
        <v>1</v>
      </c>
      <c r="I75" s="323"/>
      <c r="J75" s="324"/>
      <c r="K75" s="188"/>
      <c r="L75" s="867"/>
      <c r="M75" s="895"/>
      <c r="N75" s="106"/>
      <c r="O75" s="455"/>
      <c r="P75" s="531"/>
      <c r="Q75" s="340"/>
      <c r="R75" s="98">
        <v>200</v>
      </c>
      <c r="S75" s="326"/>
      <c r="T75" s="342">
        <v>1400</v>
      </c>
      <c r="U75" s="343"/>
      <c r="V75" s="344">
        <v>40</v>
      </c>
      <c r="W75" s="289"/>
      <c r="X75" s="340">
        <v>2050</v>
      </c>
      <c r="Y75" s="46">
        <v>90</v>
      </c>
      <c r="Z75" s="48">
        <v>10</v>
      </c>
      <c r="AA75" s="48">
        <v>25</v>
      </c>
      <c r="AB75" s="50">
        <v>67.5</v>
      </c>
      <c r="AC75" s="345">
        <v>3100</v>
      </c>
      <c r="AD75" s="312">
        <v>1620</v>
      </c>
      <c r="AE75" s="292"/>
      <c r="AF75" s="46">
        <v>75</v>
      </c>
      <c r="AG75" s="48">
        <v>50</v>
      </c>
      <c r="AH75" s="48">
        <v>40</v>
      </c>
      <c r="AI75" s="47">
        <v>60</v>
      </c>
      <c r="AJ75" s="5"/>
      <c r="AK75" s="727"/>
      <c r="AL75" s="862"/>
      <c r="AM75" s="458"/>
      <c r="AN75" s="295"/>
      <c r="AO75" s="145"/>
      <c r="AP75" s="85"/>
      <c r="AQ75" s="677"/>
      <c r="AR75" s="56"/>
      <c r="AS75" s="34"/>
      <c r="AT75" s="34"/>
      <c r="AU75" s="73"/>
      <c r="AV75" s="846">
        <v>130</v>
      </c>
      <c r="AW75" s="143"/>
      <c r="AX75" s="33"/>
      <c r="AY75" s="34"/>
      <c r="AZ75" s="34"/>
      <c r="BA75" s="84"/>
      <c r="BB75" s="748"/>
      <c r="BC75" s="590"/>
      <c r="BD75" s="588"/>
      <c r="BE75" s="299"/>
      <c r="BF75" s="300"/>
      <c r="BG75" s="112"/>
      <c r="BH75" s="541"/>
      <c r="BI75" s="301">
        <v>4</v>
      </c>
      <c r="BJ75" s="655" t="s">
        <v>870</v>
      </c>
      <c r="BK75" s="36" t="s">
        <v>64</v>
      </c>
      <c r="BL75" s="303" t="s">
        <v>1502</v>
      </c>
      <c r="BM75" s="86" t="s">
        <v>1073</v>
      </c>
      <c r="BN75" s="303" t="s">
        <v>104</v>
      </c>
      <c r="BO75" s="86"/>
      <c r="BP75" s="445"/>
      <c r="BQ75" s="657"/>
      <c r="BR75" s="585"/>
      <c r="BS75" s="365"/>
      <c r="BT75" s="365"/>
      <c r="BU75" s="365"/>
      <c r="BV75" s="580"/>
      <c r="BW75" s="366"/>
      <c r="BX75"/>
      <c r="BY75"/>
      <c r="BZ75" s="1"/>
      <c r="CA75" s="21"/>
      <c r="CB75" s="605"/>
      <c r="CC75" s="600"/>
      <c r="CD75" s="601"/>
      <c r="CE75" s="329">
        <f t="shared" si="42"/>
        <v>200</v>
      </c>
      <c r="CF75" s="329">
        <f t="shared" si="43"/>
      </c>
      <c r="CG75" s="329">
        <f t="shared" si="44"/>
      </c>
      <c r="CH75" s="329">
        <f t="shared" si="45"/>
      </c>
      <c r="CI75" s="329">
        <f t="shared" si="46"/>
      </c>
      <c r="CJ75" s="329">
        <f t="shared" si="47"/>
      </c>
      <c r="CK75" s="329">
        <f t="shared" si="48"/>
      </c>
      <c r="CL75" s="329">
        <f t="shared" si="49"/>
      </c>
      <c r="CM75" s="485" t="s">
        <v>1066</v>
      </c>
      <c r="CN75" s="724" t="s">
        <v>871</v>
      </c>
      <c r="CO75" s="440"/>
      <c r="CP75" s="392"/>
      <c r="CQ75" s="392"/>
      <c r="CR75" s="393"/>
      <c r="CS75" s="834"/>
      <c r="CT75" s="592"/>
      <c r="CU75" s="21" t="e">
        <f t="shared" si="50"/>
        <v>#DIV/0!</v>
      </c>
      <c r="CV75" s="21" t="e">
        <f t="shared" si="51"/>
        <v>#DIV/0!</v>
      </c>
      <c r="CX75" s="622">
        <f t="shared" si="52"/>
        <v>192.5</v>
      </c>
      <c r="CY75" s="623">
        <f t="shared" si="53"/>
        <v>225</v>
      </c>
      <c r="CZ75" s="624">
        <f t="shared" si="54"/>
        <v>0</v>
      </c>
      <c r="DA75" s="634">
        <f t="shared" si="55"/>
        <v>0</v>
      </c>
      <c r="DB75" s="591">
        <f t="shared" si="56"/>
        <v>1400000</v>
      </c>
      <c r="DC75" s="591">
        <f>DA75*1.25*1.25</f>
        <v>0</v>
      </c>
      <c r="DD75" s="591">
        <v>15000</v>
      </c>
      <c r="DI75" s="54">
        <v>1.6875</v>
      </c>
      <c r="DJ75" s="54">
        <v>6.25</v>
      </c>
      <c r="DK75" s="649">
        <f t="shared" si="58"/>
        <v>0</v>
      </c>
    </row>
    <row r="76" spans="1:115" s="54" customFormat="1" ht="12.75">
      <c r="A76" s="24" t="s">
        <v>790</v>
      </c>
      <c r="B76" s="69"/>
      <c r="C76" s="319" t="s">
        <v>99</v>
      </c>
      <c r="D76" s="670"/>
      <c r="E76" s="374" t="s">
        <v>1689</v>
      </c>
      <c r="F76" s="15">
        <v>1</v>
      </c>
      <c r="G76" s="18">
        <v>3</v>
      </c>
      <c r="H76" s="17"/>
      <c r="I76" s="323"/>
      <c r="J76" s="324"/>
      <c r="K76" s="188"/>
      <c r="L76" s="867">
        <v>335</v>
      </c>
      <c r="M76" s="895"/>
      <c r="N76" s="106"/>
      <c r="O76" s="455"/>
      <c r="P76" s="531"/>
      <c r="Q76" s="340"/>
      <c r="R76" s="98"/>
      <c r="S76" s="326"/>
      <c r="T76" s="342">
        <v>1200</v>
      </c>
      <c r="U76" s="343"/>
      <c r="V76" s="344">
        <v>40</v>
      </c>
      <c r="W76" s="289"/>
      <c r="X76" s="340"/>
      <c r="Y76" s="43"/>
      <c r="Z76" s="44"/>
      <c r="AA76" s="44"/>
      <c r="AB76" s="49"/>
      <c r="AC76" s="345"/>
      <c r="AD76" s="312"/>
      <c r="AE76" s="292"/>
      <c r="AF76" s="46"/>
      <c r="AG76" s="48"/>
      <c r="AH76" s="48"/>
      <c r="AI76" s="47"/>
      <c r="AJ76" s="5"/>
      <c r="AK76" s="727"/>
      <c r="AL76" s="862"/>
      <c r="AM76" s="458"/>
      <c r="AN76" s="295"/>
      <c r="AO76" s="905">
        <v>60</v>
      </c>
      <c r="AP76" s="85"/>
      <c r="AQ76" s="677">
        <v>275</v>
      </c>
      <c r="AR76" s="56"/>
      <c r="AS76" s="34"/>
      <c r="AT76" s="34"/>
      <c r="AU76" s="744">
        <v>17</v>
      </c>
      <c r="AV76" s="39"/>
      <c r="AW76" s="143"/>
      <c r="AX76" s="33"/>
      <c r="AY76" s="34"/>
      <c r="AZ76" s="34"/>
      <c r="BA76" s="84"/>
      <c r="BB76" s="748"/>
      <c r="BC76" s="590"/>
      <c r="BD76" s="588"/>
      <c r="BE76" s="299"/>
      <c r="BF76" s="300"/>
      <c r="BG76" s="112"/>
      <c r="BH76" s="541"/>
      <c r="BI76" s="301">
        <v>3</v>
      </c>
      <c r="BJ76" s="655" t="s">
        <v>870</v>
      </c>
      <c r="BK76" s="36" t="s">
        <v>1572</v>
      </c>
      <c r="BL76" s="303" t="s">
        <v>1504</v>
      </c>
      <c r="BM76" s="86" t="s">
        <v>1503</v>
      </c>
      <c r="BN76" s="303" t="s">
        <v>104</v>
      </c>
      <c r="BO76" s="86"/>
      <c r="BP76" s="445"/>
      <c r="BQ76" s="657"/>
      <c r="BR76" s="585"/>
      <c r="BS76" s="365"/>
      <c r="BT76" s="365"/>
      <c r="BU76" s="365"/>
      <c r="BV76" s="580"/>
      <c r="BW76" s="366"/>
      <c r="BX76"/>
      <c r="BY76"/>
      <c r="BZ76" s="1"/>
      <c r="CA76" s="21"/>
      <c r="CB76" s="605"/>
      <c r="CC76" s="600"/>
      <c r="CD76" s="601"/>
      <c r="CE76" s="329">
        <f t="shared" si="42"/>
        <v>0</v>
      </c>
      <c r="CF76" s="329">
        <f t="shared" si="43"/>
        <v>0</v>
      </c>
      <c r="CG76" s="329">
        <f t="shared" si="44"/>
      </c>
      <c r="CH76" s="329">
        <f t="shared" si="45"/>
      </c>
      <c r="CI76" s="329">
        <f t="shared" si="46"/>
      </c>
      <c r="CJ76" s="329">
        <f t="shared" si="47"/>
      </c>
      <c r="CK76" s="329">
        <f t="shared" si="48"/>
      </c>
      <c r="CL76" s="329">
        <f t="shared" si="49"/>
      </c>
      <c r="CM76" s="485" t="s">
        <v>1639</v>
      </c>
      <c r="CN76" s="724" t="s">
        <v>871</v>
      </c>
      <c r="CO76" s="440"/>
      <c r="CP76" s="392" t="s">
        <v>706</v>
      </c>
      <c r="CQ76" s="392"/>
      <c r="CR76" s="393"/>
      <c r="CS76" s="834"/>
      <c r="CT76" s="592"/>
      <c r="CU76" s="21" t="e">
        <f t="shared" si="50"/>
        <v>#VALUE!</v>
      </c>
      <c r="CV76" s="21" t="e">
        <f t="shared" si="51"/>
        <v>#DIV/0!</v>
      </c>
      <c r="CX76" s="625">
        <f t="shared" si="52"/>
        <v>0</v>
      </c>
      <c r="CY76" s="623">
        <f t="shared" si="53"/>
        <v>0</v>
      </c>
      <c r="CZ76" s="624">
        <f t="shared" si="54"/>
        <v>0</v>
      </c>
      <c r="DA76" s="634">
        <f t="shared" si="55"/>
        <v>0</v>
      </c>
      <c r="DB76" s="591">
        <f t="shared" si="56"/>
        <v>1200000</v>
      </c>
      <c r="DC76" s="591">
        <f>DA76*1.25</f>
        <v>0</v>
      </c>
      <c r="DD76" s="591">
        <v>15000</v>
      </c>
      <c r="DI76" s="54">
        <v>1.6875</v>
      </c>
      <c r="DJ76" s="54">
        <v>6.25</v>
      </c>
      <c r="DK76" s="649">
        <f t="shared" si="58"/>
        <v>0</v>
      </c>
    </row>
    <row r="77" spans="1:115" s="54" customFormat="1" ht="12.75">
      <c r="A77" s="24" t="s">
        <v>708</v>
      </c>
      <c r="B77" s="69"/>
      <c r="C77" s="319" t="s">
        <v>99</v>
      </c>
      <c r="D77" s="670"/>
      <c r="E77" s="374" t="s">
        <v>1689</v>
      </c>
      <c r="F77" s="15"/>
      <c r="G77" s="843">
        <v>4</v>
      </c>
      <c r="H77" s="732"/>
      <c r="I77" s="323"/>
      <c r="J77" s="324"/>
      <c r="K77" s="188"/>
      <c r="L77" s="867">
        <v>335</v>
      </c>
      <c r="M77" s="895"/>
      <c r="N77" s="106"/>
      <c r="O77" s="455"/>
      <c r="P77" s="531"/>
      <c r="Q77" s="340"/>
      <c r="R77" s="98"/>
      <c r="S77" s="326"/>
      <c r="T77" s="342">
        <v>1200</v>
      </c>
      <c r="U77" s="343"/>
      <c r="V77" s="344">
        <v>40</v>
      </c>
      <c r="W77" s="289"/>
      <c r="X77" s="340"/>
      <c r="Y77" s="43"/>
      <c r="Z77" s="44"/>
      <c r="AA77" s="44"/>
      <c r="AB77" s="49"/>
      <c r="AC77" s="345"/>
      <c r="AD77" s="312"/>
      <c r="AE77" s="292"/>
      <c r="AF77" s="46"/>
      <c r="AG77" s="48"/>
      <c r="AH77" s="48"/>
      <c r="AI77" s="47"/>
      <c r="AJ77" s="5"/>
      <c r="AK77" s="727"/>
      <c r="AL77" s="862"/>
      <c r="AM77" s="458"/>
      <c r="AN77" s="295"/>
      <c r="AO77" s="145">
        <v>50</v>
      </c>
      <c r="AP77" s="85"/>
      <c r="AQ77" s="677">
        <v>300</v>
      </c>
      <c r="AR77" s="56"/>
      <c r="AS77" s="34"/>
      <c r="AT77" s="34"/>
      <c r="AU77" s="73">
        <v>17</v>
      </c>
      <c r="AV77" s="39"/>
      <c r="AW77" s="143"/>
      <c r="AX77" s="33"/>
      <c r="AY77" s="34"/>
      <c r="AZ77" s="34"/>
      <c r="BA77" s="84"/>
      <c r="BB77" s="748"/>
      <c r="BC77" s="590"/>
      <c r="BD77" s="588"/>
      <c r="BE77" s="299"/>
      <c r="BF77" s="300"/>
      <c r="BG77" s="112"/>
      <c r="BH77" s="541"/>
      <c r="BI77" s="301">
        <v>4</v>
      </c>
      <c r="BJ77" s="655" t="s">
        <v>870</v>
      </c>
      <c r="BK77" s="36" t="s">
        <v>600</v>
      </c>
      <c r="BL77" s="303" t="s">
        <v>1505</v>
      </c>
      <c r="BM77" s="86" t="s">
        <v>1744</v>
      </c>
      <c r="BN77" s="303" t="s">
        <v>104</v>
      </c>
      <c r="BO77" s="86"/>
      <c r="BP77" s="445"/>
      <c r="BQ77" s="657"/>
      <c r="BR77" s="585"/>
      <c r="BS77" s="365"/>
      <c r="BT77" s="365"/>
      <c r="BU77" s="365"/>
      <c r="BV77" s="580"/>
      <c r="BW77" s="366"/>
      <c r="BX77" s="378"/>
      <c r="BY77"/>
      <c r="BZ77" s="1"/>
      <c r="CA77" s="21"/>
      <c r="CB77" s="605"/>
      <c r="CC77" s="610"/>
      <c r="CD77" s="601"/>
      <c r="CE77" s="329">
        <f t="shared" si="42"/>
        <v>0</v>
      </c>
      <c r="CF77" s="329">
        <f t="shared" si="43"/>
      </c>
      <c r="CG77" s="329">
        <f t="shared" si="44"/>
      </c>
      <c r="CH77" s="329">
        <f t="shared" si="45"/>
      </c>
      <c r="CI77" s="329">
        <f t="shared" si="46"/>
      </c>
      <c r="CJ77" s="329">
        <f t="shared" si="47"/>
      </c>
      <c r="CK77" s="329">
        <f t="shared" si="48"/>
      </c>
      <c r="CL77" s="329">
        <f t="shared" si="49"/>
      </c>
      <c r="CM77" s="485" t="s">
        <v>8</v>
      </c>
      <c r="CN77" s="724" t="s">
        <v>871</v>
      </c>
      <c r="CO77" s="440"/>
      <c r="CP77" s="392"/>
      <c r="CQ77" s="392"/>
      <c r="CR77" s="393"/>
      <c r="CS77" s="834"/>
      <c r="CT77" s="592"/>
      <c r="CU77" s="21" t="e">
        <f t="shared" si="50"/>
        <v>#DIV/0!</v>
      </c>
      <c r="CV77" s="21" t="e">
        <f t="shared" si="51"/>
        <v>#DIV/0!</v>
      </c>
      <c r="CX77" s="625">
        <f t="shared" si="52"/>
        <v>0</v>
      </c>
      <c r="CY77" s="623">
        <f t="shared" si="53"/>
        <v>0</v>
      </c>
      <c r="CZ77" s="624">
        <f t="shared" si="54"/>
        <v>0</v>
      </c>
      <c r="DA77" s="634">
        <f t="shared" si="55"/>
        <v>0</v>
      </c>
      <c r="DB77" s="591">
        <f t="shared" si="56"/>
        <v>1200000</v>
      </c>
      <c r="DC77" s="591">
        <f>DA77*1.25</f>
        <v>0</v>
      </c>
      <c r="DD77" s="591">
        <v>15000</v>
      </c>
      <c r="DI77" s="54">
        <v>1.6875</v>
      </c>
      <c r="DJ77" s="54">
        <v>6.25</v>
      </c>
      <c r="DK77" s="649">
        <f t="shared" si="58"/>
        <v>0</v>
      </c>
    </row>
    <row r="78" spans="1:115" s="54" customFormat="1" ht="12.75">
      <c r="A78" s="24" t="s">
        <v>1418</v>
      </c>
      <c r="B78" s="69"/>
      <c r="C78" s="319" t="s">
        <v>99</v>
      </c>
      <c r="D78" s="670" t="s">
        <v>214</v>
      </c>
      <c r="E78" s="374" t="s">
        <v>1689</v>
      </c>
      <c r="F78" s="15">
        <v>1</v>
      </c>
      <c r="G78" s="739">
        <v>3</v>
      </c>
      <c r="H78" s="17"/>
      <c r="I78" s="323"/>
      <c r="J78" s="324"/>
      <c r="K78" s="188"/>
      <c r="L78" s="867">
        <v>320</v>
      </c>
      <c r="M78" s="895"/>
      <c r="N78" s="106"/>
      <c r="O78" s="455"/>
      <c r="P78" s="531"/>
      <c r="Q78" s="340"/>
      <c r="R78" s="98"/>
      <c r="S78" s="326"/>
      <c r="T78" s="342">
        <v>1200</v>
      </c>
      <c r="U78" s="343"/>
      <c r="V78" s="344">
        <v>40</v>
      </c>
      <c r="W78" s="289"/>
      <c r="X78" s="340"/>
      <c r="Y78" s="43"/>
      <c r="Z78" s="44"/>
      <c r="AA78" s="44"/>
      <c r="AB78" s="49"/>
      <c r="AC78" s="345"/>
      <c r="AD78" s="312"/>
      <c r="AE78" s="292"/>
      <c r="AF78" s="46"/>
      <c r="AG78" s="48"/>
      <c r="AH78" s="48"/>
      <c r="AI78" s="47"/>
      <c r="AJ78" s="5"/>
      <c r="AK78" s="727"/>
      <c r="AL78" s="862"/>
      <c r="AM78" s="458"/>
      <c r="AN78" s="295"/>
      <c r="AO78" s="145">
        <v>50</v>
      </c>
      <c r="AP78" s="85"/>
      <c r="AQ78" s="677">
        <v>300</v>
      </c>
      <c r="AR78" s="56"/>
      <c r="AS78" s="34"/>
      <c r="AT78" s="34"/>
      <c r="AU78" s="73">
        <v>13</v>
      </c>
      <c r="AV78" s="39"/>
      <c r="AW78" s="143"/>
      <c r="AX78" s="33"/>
      <c r="AY78" s="34"/>
      <c r="AZ78" s="34"/>
      <c r="BA78" s="84"/>
      <c r="BB78" s="748"/>
      <c r="BC78" s="590"/>
      <c r="BD78" s="588"/>
      <c r="BE78" s="299"/>
      <c r="BF78" s="300"/>
      <c r="BG78" s="112"/>
      <c r="BH78" s="541"/>
      <c r="BI78" s="301">
        <v>1</v>
      </c>
      <c r="BJ78" s="655" t="s">
        <v>870</v>
      </c>
      <c r="BK78" s="36" t="s">
        <v>1679</v>
      </c>
      <c r="BL78" s="303" t="s">
        <v>1419</v>
      </c>
      <c r="BM78" s="86" t="s">
        <v>1680</v>
      </c>
      <c r="BN78" s="303" t="s">
        <v>104</v>
      </c>
      <c r="BO78" s="86"/>
      <c r="BP78" s="445"/>
      <c r="BQ78" s="657"/>
      <c r="BR78" s="585"/>
      <c r="BS78" s="365"/>
      <c r="BT78" s="365"/>
      <c r="BU78" s="365"/>
      <c r="BV78" s="580"/>
      <c r="BW78" s="366"/>
      <c r="BX78" s="378"/>
      <c r="BY78"/>
      <c r="BZ78" s="1"/>
      <c r="CA78" s="21"/>
      <c r="CB78" s="605"/>
      <c r="CC78" s="610"/>
      <c r="CD78" s="601"/>
      <c r="CE78" s="329">
        <f t="shared" si="42"/>
        <v>0</v>
      </c>
      <c r="CF78" s="329">
        <f t="shared" si="43"/>
        <v>0</v>
      </c>
      <c r="CG78" s="329">
        <f t="shared" si="44"/>
      </c>
      <c r="CH78" s="329">
        <f t="shared" si="45"/>
      </c>
      <c r="CI78" s="329">
        <f t="shared" si="46"/>
      </c>
      <c r="CJ78" s="329">
        <f t="shared" si="47"/>
      </c>
      <c r="CK78" s="329">
        <f t="shared" si="48"/>
      </c>
      <c r="CL78" s="329">
        <f t="shared" si="49"/>
      </c>
      <c r="CM78" s="485" t="s">
        <v>8</v>
      </c>
      <c r="CN78" s="724" t="s">
        <v>871</v>
      </c>
      <c r="CO78" s="440" t="s">
        <v>705</v>
      </c>
      <c r="CP78" s="392"/>
      <c r="CQ78" s="392"/>
      <c r="CR78" s="393"/>
      <c r="CS78" s="834"/>
      <c r="CT78" s="592"/>
      <c r="CU78" s="21" t="e">
        <f t="shared" si="50"/>
        <v>#DIV/0!</v>
      </c>
      <c r="CV78" s="21" t="e">
        <f t="shared" si="51"/>
        <v>#DIV/0!</v>
      </c>
      <c r="CX78" s="625">
        <f t="shared" si="52"/>
        <v>0</v>
      </c>
      <c r="CY78" s="623">
        <f t="shared" si="53"/>
        <v>0</v>
      </c>
      <c r="CZ78" s="624">
        <f t="shared" si="54"/>
        <v>0</v>
      </c>
      <c r="DA78" s="634">
        <f t="shared" si="55"/>
        <v>0</v>
      </c>
      <c r="DB78" s="591">
        <f t="shared" si="56"/>
        <v>1200000</v>
      </c>
      <c r="DC78" s="591">
        <f>DA78*1.25</f>
        <v>0</v>
      </c>
      <c r="DD78" s="591">
        <v>15000</v>
      </c>
      <c r="DI78" s="54">
        <v>1.6875</v>
      </c>
      <c r="DJ78" s="54">
        <v>6.25</v>
      </c>
      <c r="DK78" s="649">
        <f t="shared" si="58"/>
        <v>0</v>
      </c>
    </row>
    <row r="79" spans="1:115" s="54" customFormat="1" ht="12.75">
      <c r="A79" s="24" t="s">
        <v>792</v>
      </c>
      <c r="B79" s="69"/>
      <c r="C79" s="319" t="s">
        <v>99</v>
      </c>
      <c r="D79" s="670"/>
      <c r="E79" s="374" t="s">
        <v>1689</v>
      </c>
      <c r="F79" s="15"/>
      <c r="G79" s="18">
        <v>4</v>
      </c>
      <c r="H79" s="17"/>
      <c r="I79" s="323"/>
      <c r="J79" s="324"/>
      <c r="K79" s="188"/>
      <c r="L79" s="867">
        <v>355</v>
      </c>
      <c r="M79" s="895"/>
      <c r="N79" s="106"/>
      <c r="O79" s="455"/>
      <c r="P79" s="531"/>
      <c r="Q79" s="340"/>
      <c r="R79" s="98"/>
      <c r="S79" s="326"/>
      <c r="T79" s="342">
        <v>1200</v>
      </c>
      <c r="U79" s="343"/>
      <c r="V79" s="344">
        <v>40</v>
      </c>
      <c r="W79" s="289"/>
      <c r="X79" s="340"/>
      <c r="Y79" s="43"/>
      <c r="Z79" s="44"/>
      <c r="AA79" s="44"/>
      <c r="AB79" s="49"/>
      <c r="AC79" s="345"/>
      <c r="AD79" s="312"/>
      <c r="AE79" s="292"/>
      <c r="AF79" s="46"/>
      <c r="AG79" s="48"/>
      <c r="AH79" s="48"/>
      <c r="AI79" s="47"/>
      <c r="AJ79" s="5"/>
      <c r="AK79" s="727"/>
      <c r="AL79" s="862"/>
      <c r="AM79" s="458"/>
      <c r="AN79" s="295"/>
      <c r="AO79" s="145">
        <v>55</v>
      </c>
      <c r="AP79" s="85"/>
      <c r="AQ79" s="734">
        <v>260</v>
      </c>
      <c r="AR79" s="56"/>
      <c r="AS79" s="34"/>
      <c r="AT79" s="34"/>
      <c r="AU79" s="73">
        <v>15</v>
      </c>
      <c r="AV79" s="371"/>
      <c r="AW79" s="143"/>
      <c r="AX79" s="33"/>
      <c r="AY79" s="34"/>
      <c r="AZ79" s="34"/>
      <c r="BA79" s="84"/>
      <c r="BB79" s="748"/>
      <c r="BC79" s="590"/>
      <c r="BD79" s="588"/>
      <c r="BE79" s="299"/>
      <c r="BF79" s="300"/>
      <c r="BG79" s="112"/>
      <c r="BH79" s="541"/>
      <c r="BI79" s="301">
        <v>2</v>
      </c>
      <c r="BJ79" s="655" t="s">
        <v>870</v>
      </c>
      <c r="BK79" s="36" t="s">
        <v>777</v>
      </c>
      <c r="BL79" s="303" t="s">
        <v>1420</v>
      </c>
      <c r="BM79" s="86" t="s">
        <v>1673</v>
      </c>
      <c r="BN79" s="303" t="s">
        <v>104</v>
      </c>
      <c r="BO79" s="86"/>
      <c r="BP79" s="445"/>
      <c r="BQ79" s="657"/>
      <c r="BR79" s="585"/>
      <c r="BS79" s="365"/>
      <c r="BT79" s="365"/>
      <c r="BU79" s="365"/>
      <c r="BV79" s="580"/>
      <c r="BW79" s="366"/>
      <c r="BX79"/>
      <c r="BY79"/>
      <c r="BZ79" s="1"/>
      <c r="CA79" s="21"/>
      <c r="CB79" s="605"/>
      <c r="CC79" s="600"/>
      <c r="CD79" s="601"/>
      <c r="CE79" s="329">
        <f t="shared" si="42"/>
        <v>0</v>
      </c>
      <c r="CF79" s="329">
        <f t="shared" si="43"/>
      </c>
      <c r="CG79" s="329">
        <f t="shared" si="44"/>
      </c>
      <c r="CH79" s="329">
        <f t="shared" si="45"/>
      </c>
      <c r="CI79" s="329">
        <f t="shared" si="46"/>
      </c>
      <c r="CJ79" s="329">
        <f t="shared" si="47"/>
      </c>
      <c r="CK79" s="329">
        <f t="shared" si="48"/>
      </c>
      <c r="CL79" s="329">
        <f t="shared" si="49"/>
      </c>
      <c r="CM79" s="485" t="s">
        <v>1066</v>
      </c>
      <c r="CN79" s="724" t="s">
        <v>871</v>
      </c>
      <c r="CO79" s="440"/>
      <c r="CP79" s="392"/>
      <c r="CQ79" s="392"/>
      <c r="CR79" s="393"/>
      <c r="CS79" s="834"/>
      <c r="CT79" s="592"/>
      <c r="CU79" s="21" t="e">
        <f t="shared" si="50"/>
        <v>#DIV/0!</v>
      </c>
      <c r="CV79" s="21" t="e">
        <f t="shared" si="51"/>
        <v>#DIV/0!</v>
      </c>
      <c r="CX79" s="622">
        <f t="shared" si="52"/>
        <v>0</v>
      </c>
      <c r="CY79" s="623">
        <f t="shared" si="53"/>
        <v>0</v>
      </c>
      <c r="CZ79" s="624">
        <f t="shared" si="54"/>
        <v>0</v>
      </c>
      <c r="DA79" s="634">
        <f t="shared" si="55"/>
        <v>0</v>
      </c>
      <c r="DB79" s="591">
        <f t="shared" si="56"/>
        <v>1200000</v>
      </c>
      <c r="DC79" s="591">
        <f>DA79*1.25*1.25</f>
        <v>0</v>
      </c>
      <c r="DD79" s="591">
        <v>15000</v>
      </c>
      <c r="DI79" s="54">
        <v>1.6875</v>
      </c>
      <c r="DJ79" s="54">
        <v>6.25</v>
      </c>
      <c r="DK79" s="649">
        <f t="shared" si="58"/>
        <v>0</v>
      </c>
    </row>
    <row r="80" spans="1:115" s="54" customFormat="1" ht="12.75">
      <c r="A80" s="24" t="s">
        <v>793</v>
      </c>
      <c r="B80" s="69"/>
      <c r="C80" s="319" t="s">
        <v>99</v>
      </c>
      <c r="D80" s="670"/>
      <c r="E80" s="374" t="s">
        <v>490</v>
      </c>
      <c r="F80" s="15">
        <v>2</v>
      </c>
      <c r="G80" s="18"/>
      <c r="H80" s="17">
        <v>1</v>
      </c>
      <c r="I80" s="323">
        <v>1</v>
      </c>
      <c r="J80" s="324">
        <v>1</v>
      </c>
      <c r="K80" s="188"/>
      <c r="L80" s="867"/>
      <c r="M80" s="895">
        <v>950</v>
      </c>
      <c r="N80" s="106"/>
      <c r="O80" s="455"/>
      <c r="P80" s="531"/>
      <c r="Q80" s="340"/>
      <c r="R80" s="98"/>
      <c r="S80" s="326"/>
      <c r="T80" s="342">
        <v>1200</v>
      </c>
      <c r="U80" s="343"/>
      <c r="V80" s="344">
        <v>40</v>
      </c>
      <c r="W80" s="289"/>
      <c r="X80" s="340"/>
      <c r="Y80" s="43"/>
      <c r="Z80" s="44"/>
      <c r="AA80" s="44"/>
      <c r="AB80" s="49"/>
      <c r="AC80" s="345"/>
      <c r="AD80" s="312"/>
      <c r="AE80" s="292"/>
      <c r="AF80" s="46"/>
      <c r="AG80" s="48"/>
      <c r="AH80" s="48"/>
      <c r="AI80" s="47"/>
      <c r="AJ80" s="5"/>
      <c r="AK80" s="727"/>
      <c r="AL80" s="904">
        <v>1225</v>
      </c>
      <c r="AM80" s="458">
        <v>415</v>
      </c>
      <c r="AN80" s="295"/>
      <c r="AO80" s="145"/>
      <c r="AP80" s="85"/>
      <c r="AQ80" s="677"/>
      <c r="AR80" s="56"/>
      <c r="AS80" s="34"/>
      <c r="AT80" s="34"/>
      <c r="AU80" s="73"/>
      <c r="AV80" s="39"/>
      <c r="AW80" s="143"/>
      <c r="AX80" s="33"/>
      <c r="AY80" s="34"/>
      <c r="AZ80" s="34"/>
      <c r="BA80" s="84"/>
      <c r="BB80" s="748"/>
      <c r="BC80" s="590"/>
      <c r="BD80" s="588"/>
      <c r="BE80" s="299"/>
      <c r="BF80" s="300"/>
      <c r="BG80" s="112"/>
      <c r="BH80" s="541"/>
      <c r="BI80" s="301">
        <v>2</v>
      </c>
      <c r="BJ80" s="655" t="s">
        <v>870</v>
      </c>
      <c r="BK80" s="36" t="s">
        <v>488</v>
      </c>
      <c r="BL80" s="303" t="s">
        <v>373</v>
      </c>
      <c r="BM80" s="86" t="s">
        <v>1681</v>
      </c>
      <c r="BN80" s="303" t="s">
        <v>104</v>
      </c>
      <c r="BO80" s="86"/>
      <c r="BP80" s="445"/>
      <c r="BQ80" s="657"/>
      <c r="BR80" s="585"/>
      <c r="BS80" s="365"/>
      <c r="BT80" s="365"/>
      <c r="BU80" s="365"/>
      <c r="BV80" s="580"/>
      <c r="BW80" s="366"/>
      <c r="BX80"/>
      <c r="BY80"/>
      <c r="BZ80" s="1"/>
      <c r="CA80" s="21"/>
      <c r="CB80" s="605"/>
      <c r="CC80" s="600"/>
      <c r="CD80" s="601"/>
      <c r="CE80" s="329">
        <f t="shared" si="42"/>
        <v>0</v>
      </c>
      <c r="CF80" s="329">
        <f t="shared" si="43"/>
        <v>0</v>
      </c>
      <c r="CG80" s="329">
        <f t="shared" si="44"/>
        <v>0</v>
      </c>
      <c r="CH80" s="329">
        <f t="shared" si="45"/>
      </c>
      <c r="CI80" s="329">
        <f t="shared" si="46"/>
      </c>
      <c r="CJ80" s="329">
        <f t="shared" si="47"/>
      </c>
      <c r="CK80" s="329">
        <f t="shared" si="48"/>
      </c>
      <c r="CL80" s="329">
        <f t="shared" si="49"/>
      </c>
      <c r="CM80" s="485" t="s">
        <v>1639</v>
      </c>
      <c r="CN80" s="724" t="s">
        <v>871</v>
      </c>
      <c r="CO80" s="440"/>
      <c r="CP80" s="392"/>
      <c r="CQ80" s="392"/>
      <c r="CR80" s="393"/>
      <c r="CS80" s="834"/>
      <c r="CT80" s="592"/>
      <c r="CU80" s="21" t="e">
        <f t="shared" si="50"/>
        <v>#DIV/0!</v>
      </c>
      <c r="CV80" s="21" t="e">
        <f t="shared" si="51"/>
        <v>#DIV/0!</v>
      </c>
      <c r="CX80" s="625">
        <f t="shared" si="52"/>
        <v>0</v>
      </c>
      <c r="CY80" s="623">
        <f t="shared" si="53"/>
        <v>0</v>
      </c>
      <c r="CZ80" s="624">
        <f t="shared" si="54"/>
        <v>0</v>
      </c>
      <c r="DA80" s="634">
        <f t="shared" si="55"/>
        <v>0</v>
      </c>
      <c r="DB80" s="591">
        <f t="shared" si="56"/>
        <v>1200000</v>
      </c>
      <c r="DC80" s="591">
        <f>DA80*1.25</f>
        <v>0</v>
      </c>
      <c r="DD80" s="591">
        <v>15000</v>
      </c>
      <c r="DI80" s="54">
        <v>1.6875</v>
      </c>
      <c r="DJ80" s="54">
        <v>6.25</v>
      </c>
      <c r="DK80" s="649">
        <f t="shared" si="58"/>
        <v>0</v>
      </c>
    </row>
    <row r="81" spans="1:115" s="54" customFormat="1" ht="12.75">
      <c r="A81" s="24" t="s">
        <v>794</v>
      </c>
      <c r="B81" s="69"/>
      <c r="C81" s="319" t="s">
        <v>99</v>
      </c>
      <c r="D81" s="670"/>
      <c r="E81" s="374" t="s">
        <v>490</v>
      </c>
      <c r="F81" s="15">
        <v>2</v>
      </c>
      <c r="G81" s="18">
        <v>1</v>
      </c>
      <c r="H81" s="17"/>
      <c r="I81" s="323"/>
      <c r="J81" s="324"/>
      <c r="K81" s="188"/>
      <c r="L81" s="867"/>
      <c r="M81" s="895">
        <v>750</v>
      </c>
      <c r="N81" s="106"/>
      <c r="O81" s="455"/>
      <c r="P81" s="531"/>
      <c r="Q81" s="340"/>
      <c r="R81" s="98"/>
      <c r="S81" s="326"/>
      <c r="T81" s="342">
        <v>1200</v>
      </c>
      <c r="U81" s="343"/>
      <c r="V81" s="344">
        <v>40</v>
      </c>
      <c r="W81" s="289"/>
      <c r="X81" s="340"/>
      <c r="Y81" s="43"/>
      <c r="Z81" s="44"/>
      <c r="AA81" s="44"/>
      <c r="AB81" s="49"/>
      <c r="AC81" s="345"/>
      <c r="AD81" s="312"/>
      <c r="AE81" s="292"/>
      <c r="AF81" s="46"/>
      <c r="AG81" s="48"/>
      <c r="AH81" s="48"/>
      <c r="AI81" s="47"/>
      <c r="AJ81" s="5"/>
      <c r="AK81" s="727"/>
      <c r="AL81" s="862">
        <v>2100</v>
      </c>
      <c r="AM81" s="733">
        <v>415</v>
      </c>
      <c r="AN81" s="295"/>
      <c r="AO81" s="145"/>
      <c r="AP81" s="85"/>
      <c r="AQ81" s="677"/>
      <c r="AR81" s="56"/>
      <c r="AS81" s="34"/>
      <c r="AT81" s="34"/>
      <c r="AU81" s="73"/>
      <c r="AV81" s="39"/>
      <c r="AW81" s="143"/>
      <c r="AX81" s="33"/>
      <c r="AY81" s="34"/>
      <c r="AZ81" s="34"/>
      <c r="BA81" s="84"/>
      <c r="BB81" s="748"/>
      <c r="BC81" s="590"/>
      <c r="BD81" s="588"/>
      <c r="BE81" s="299"/>
      <c r="BF81" s="300"/>
      <c r="BG81" s="112"/>
      <c r="BH81" s="541"/>
      <c r="BI81" s="301">
        <v>3</v>
      </c>
      <c r="BJ81" s="655" t="s">
        <v>870</v>
      </c>
      <c r="BK81" s="36" t="s">
        <v>488</v>
      </c>
      <c r="BL81" s="303" t="s">
        <v>374</v>
      </c>
      <c r="BM81" s="86" t="s">
        <v>1682</v>
      </c>
      <c r="BN81" s="303" t="s">
        <v>104</v>
      </c>
      <c r="BO81" s="86"/>
      <c r="BP81" s="445"/>
      <c r="BQ81" s="657"/>
      <c r="BR81" s="585"/>
      <c r="BS81" s="365"/>
      <c r="BT81" s="365"/>
      <c r="BU81" s="365"/>
      <c r="BV81" s="580"/>
      <c r="BW81" s="366"/>
      <c r="BX81" s="378"/>
      <c r="BY81"/>
      <c r="BZ81" s="1"/>
      <c r="CA81" s="21"/>
      <c r="CB81" s="605"/>
      <c r="CC81" s="610"/>
      <c r="CD81" s="601"/>
      <c r="CE81" s="329">
        <f t="shared" si="42"/>
        <v>0</v>
      </c>
      <c r="CF81" s="329">
        <f t="shared" si="43"/>
        <v>0</v>
      </c>
      <c r="CG81" s="329">
        <f t="shared" si="44"/>
        <v>0</v>
      </c>
      <c r="CH81" s="329">
        <f t="shared" si="45"/>
      </c>
      <c r="CI81" s="329">
        <f t="shared" si="46"/>
      </c>
      <c r="CJ81" s="329">
        <f t="shared" si="47"/>
      </c>
      <c r="CK81" s="329">
        <f t="shared" si="48"/>
      </c>
      <c r="CL81" s="329">
        <f t="shared" si="49"/>
      </c>
      <c r="CM81" s="485" t="s">
        <v>8</v>
      </c>
      <c r="CN81" s="724" t="s">
        <v>871</v>
      </c>
      <c r="CO81" s="440"/>
      <c r="CP81" s="392"/>
      <c r="CQ81" s="392"/>
      <c r="CR81" s="393"/>
      <c r="CS81" s="834"/>
      <c r="CT81" s="592"/>
      <c r="CU81" s="21" t="e">
        <f t="shared" si="50"/>
        <v>#DIV/0!</v>
      </c>
      <c r="CV81" s="21" t="e">
        <f t="shared" si="51"/>
        <v>#DIV/0!</v>
      </c>
      <c r="CX81" s="625">
        <f t="shared" si="52"/>
        <v>0</v>
      </c>
      <c r="CY81" s="623">
        <f t="shared" si="53"/>
        <v>0</v>
      </c>
      <c r="CZ81" s="624">
        <f t="shared" si="54"/>
        <v>0</v>
      </c>
      <c r="DA81" s="634">
        <f t="shared" si="55"/>
        <v>0</v>
      </c>
      <c r="DB81" s="591">
        <f t="shared" si="56"/>
        <v>1200000</v>
      </c>
      <c r="DC81" s="591">
        <f>DA81*1.25</f>
        <v>0</v>
      </c>
      <c r="DD81" s="591">
        <v>15000</v>
      </c>
      <c r="DI81" s="54">
        <v>1.6875</v>
      </c>
      <c r="DJ81" s="54">
        <v>6.25</v>
      </c>
      <c r="DK81" s="649">
        <f t="shared" si="58"/>
        <v>0</v>
      </c>
    </row>
    <row r="82" spans="1:115" s="54" customFormat="1" ht="12.75">
      <c r="A82" s="24" t="s">
        <v>795</v>
      </c>
      <c r="B82" s="69"/>
      <c r="C82" s="319" t="s">
        <v>99</v>
      </c>
      <c r="D82" s="670" t="s">
        <v>214</v>
      </c>
      <c r="E82" s="374" t="s">
        <v>490</v>
      </c>
      <c r="F82" s="15">
        <v>2</v>
      </c>
      <c r="G82" s="18"/>
      <c r="H82" s="17">
        <v>1</v>
      </c>
      <c r="I82" s="323">
        <v>1</v>
      </c>
      <c r="J82" s="324">
        <v>1</v>
      </c>
      <c r="K82" s="188"/>
      <c r="L82" s="867"/>
      <c r="M82" s="896">
        <v>1050</v>
      </c>
      <c r="N82" s="106"/>
      <c r="O82" s="455"/>
      <c r="P82" s="531"/>
      <c r="Q82" s="340"/>
      <c r="R82" s="98"/>
      <c r="S82" s="326"/>
      <c r="T82" s="342">
        <v>1200</v>
      </c>
      <c r="U82" s="343"/>
      <c r="V82" s="344">
        <v>40</v>
      </c>
      <c r="W82" s="289"/>
      <c r="X82" s="340"/>
      <c r="Y82" s="43"/>
      <c r="Z82" s="44"/>
      <c r="AA82" s="44"/>
      <c r="AB82" s="49"/>
      <c r="AC82" s="345"/>
      <c r="AD82" s="312"/>
      <c r="AE82" s="292"/>
      <c r="AF82" s="46"/>
      <c r="AG82" s="48"/>
      <c r="AH82" s="48"/>
      <c r="AI82" s="47"/>
      <c r="AJ82" s="5"/>
      <c r="AK82" s="727"/>
      <c r="AL82" s="862">
        <v>1225</v>
      </c>
      <c r="AM82" s="458">
        <v>415</v>
      </c>
      <c r="AN82" s="295"/>
      <c r="AO82" s="145"/>
      <c r="AP82" s="85"/>
      <c r="AQ82" s="677"/>
      <c r="AR82" s="56"/>
      <c r="AS82" s="34"/>
      <c r="AT82" s="34"/>
      <c r="AU82" s="73"/>
      <c r="AV82" s="39"/>
      <c r="AW82" s="143"/>
      <c r="AX82" s="33"/>
      <c r="AY82" s="34"/>
      <c r="AZ82" s="34"/>
      <c r="BA82" s="84"/>
      <c r="BB82" s="748"/>
      <c r="BC82" s="590"/>
      <c r="BD82" s="588"/>
      <c r="BE82" s="299"/>
      <c r="BF82" s="300"/>
      <c r="BG82" s="112"/>
      <c r="BH82" s="541"/>
      <c r="BI82" s="301">
        <v>1</v>
      </c>
      <c r="BJ82" s="655" t="s">
        <v>870</v>
      </c>
      <c r="BK82" s="36" t="s">
        <v>1559</v>
      </c>
      <c r="BL82" s="303" t="s">
        <v>375</v>
      </c>
      <c r="BM82" s="86" t="s">
        <v>1683</v>
      </c>
      <c r="BN82" s="303" t="s">
        <v>104</v>
      </c>
      <c r="BO82" s="86"/>
      <c r="BP82" s="445"/>
      <c r="BQ82" s="657"/>
      <c r="BR82" s="585"/>
      <c r="BS82" s="365"/>
      <c r="BT82" s="365"/>
      <c r="BU82" s="365"/>
      <c r="BV82" s="580"/>
      <c r="BW82" s="366"/>
      <c r="BX82"/>
      <c r="BY82"/>
      <c r="BZ82" s="1"/>
      <c r="CA82" s="21"/>
      <c r="CB82" s="605"/>
      <c r="CC82" s="600"/>
      <c r="CD82" s="601"/>
      <c r="CE82" s="329">
        <f t="shared" si="42"/>
        <v>0</v>
      </c>
      <c r="CF82" s="329">
        <f t="shared" si="43"/>
        <v>0</v>
      </c>
      <c r="CG82" s="329">
        <f t="shared" si="44"/>
        <v>0</v>
      </c>
      <c r="CH82" s="329">
        <f t="shared" si="45"/>
      </c>
      <c r="CI82" s="329">
        <f t="shared" si="46"/>
      </c>
      <c r="CJ82" s="329">
        <f t="shared" si="47"/>
      </c>
      <c r="CK82" s="329">
        <f t="shared" si="48"/>
      </c>
      <c r="CL82" s="329">
        <f t="shared" si="49"/>
      </c>
      <c r="CM82" s="485" t="s">
        <v>1066</v>
      </c>
      <c r="CN82" s="724" t="s">
        <v>871</v>
      </c>
      <c r="CO82" s="440"/>
      <c r="CP82" s="392"/>
      <c r="CQ82" s="392"/>
      <c r="CR82" s="393"/>
      <c r="CS82" s="834"/>
      <c r="CT82" s="592"/>
      <c r="CU82" s="21" t="e">
        <f>CT82/CP82</f>
        <v>#DIV/0!</v>
      </c>
      <c r="CV82" s="21" t="e">
        <f>CT82/CQ82</f>
        <v>#DIV/0!</v>
      </c>
      <c r="CX82" s="622">
        <f>SUM(Y82:AB82)</f>
        <v>0</v>
      </c>
      <c r="CY82" s="623">
        <f>SUM(AF82:AI82)</f>
        <v>0</v>
      </c>
      <c r="CZ82" s="624">
        <f>AK82</f>
        <v>0</v>
      </c>
      <c r="DA82" s="634">
        <f>AW82</f>
        <v>0</v>
      </c>
      <c r="DB82" s="591">
        <f>T82*1000</f>
        <v>1200000</v>
      </c>
      <c r="DC82" s="591">
        <f>DA82*1.25*1.25</f>
        <v>0</v>
      </c>
      <c r="DD82" s="591">
        <v>15000</v>
      </c>
      <c r="DI82" s="54">
        <v>1.6875</v>
      </c>
      <c r="DJ82" s="54">
        <v>6.25</v>
      </c>
      <c r="DK82" s="649">
        <f>T82*W82/1000</f>
        <v>0</v>
      </c>
    </row>
    <row r="83" spans="1:115" s="54" customFormat="1" ht="12.75">
      <c r="A83" s="24" t="s">
        <v>709</v>
      </c>
      <c r="B83" s="69"/>
      <c r="C83" s="319" t="s">
        <v>99</v>
      </c>
      <c r="D83" s="670"/>
      <c r="E83" s="374" t="s">
        <v>490</v>
      </c>
      <c r="F83" s="15">
        <v>2</v>
      </c>
      <c r="G83" s="18">
        <v>1</v>
      </c>
      <c r="H83" s="17"/>
      <c r="I83" s="323"/>
      <c r="J83" s="324"/>
      <c r="K83" s="188"/>
      <c r="L83" s="867"/>
      <c r="M83" s="897">
        <v>950</v>
      </c>
      <c r="N83" s="106"/>
      <c r="O83" s="455"/>
      <c r="P83" s="531"/>
      <c r="Q83" s="340"/>
      <c r="R83" s="98"/>
      <c r="S83" s="326"/>
      <c r="T83" s="342">
        <v>1200</v>
      </c>
      <c r="U83" s="343"/>
      <c r="V83" s="344">
        <v>40</v>
      </c>
      <c r="W83" s="289"/>
      <c r="X83" s="340"/>
      <c r="Y83" s="43"/>
      <c r="Z83" s="44"/>
      <c r="AA83" s="44"/>
      <c r="AB83" s="49"/>
      <c r="AC83" s="345"/>
      <c r="AD83" s="312"/>
      <c r="AE83" s="292"/>
      <c r="AF83" s="46"/>
      <c r="AG83" s="48"/>
      <c r="AH83" s="48"/>
      <c r="AI83" s="47"/>
      <c r="AJ83" s="5"/>
      <c r="AK83" s="727"/>
      <c r="AL83" s="862">
        <v>1225</v>
      </c>
      <c r="AM83" s="458">
        <v>415</v>
      </c>
      <c r="AN83" s="295"/>
      <c r="AO83" s="145"/>
      <c r="AP83" s="85"/>
      <c r="AQ83" s="677"/>
      <c r="AR83" s="56"/>
      <c r="AS83" s="34"/>
      <c r="AT83" s="34"/>
      <c r="AU83" s="73"/>
      <c r="AV83" s="39"/>
      <c r="AW83" s="143"/>
      <c r="AX83" s="33"/>
      <c r="AY83" s="34"/>
      <c r="AZ83" s="34"/>
      <c r="BA83" s="84"/>
      <c r="BB83" s="748"/>
      <c r="BC83" s="590"/>
      <c r="BD83" s="588"/>
      <c r="BE83" s="299"/>
      <c r="BF83" s="300"/>
      <c r="BG83" s="112"/>
      <c r="BH83" s="541"/>
      <c r="BI83" s="301">
        <v>4</v>
      </c>
      <c r="BJ83" s="655" t="s">
        <v>870</v>
      </c>
      <c r="BK83" s="36" t="s">
        <v>1684</v>
      </c>
      <c r="BL83" s="303" t="s">
        <v>1685</v>
      </c>
      <c r="BM83" s="86" t="s">
        <v>1725</v>
      </c>
      <c r="BN83" s="303" t="s">
        <v>104</v>
      </c>
      <c r="BO83" s="86"/>
      <c r="BP83" s="445"/>
      <c r="BQ83" s="657"/>
      <c r="BR83" s="585"/>
      <c r="BS83" s="365"/>
      <c r="BT83" s="365"/>
      <c r="BU83" s="365"/>
      <c r="BV83" s="580"/>
      <c r="BW83" s="366"/>
      <c r="BX83"/>
      <c r="BY83"/>
      <c r="BZ83" s="1"/>
      <c r="CA83" s="21"/>
      <c r="CB83" s="605"/>
      <c r="CC83" s="600"/>
      <c r="CD83" s="601"/>
      <c r="CE83" s="329">
        <f t="shared" si="42"/>
        <v>0</v>
      </c>
      <c r="CF83" s="329">
        <f t="shared" si="43"/>
        <v>0</v>
      </c>
      <c r="CG83" s="329">
        <f t="shared" si="44"/>
        <v>0</v>
      </c>
      <c r="CH83" s="329">
        <f t="shared" si="45"/>
      </c>
      <c r="CI83" s="329">
        <f t="shared" si="46"/>
      </c>
      <c r="CJ83" s="329">
        <f t="shared" si="47"/>
      </c>
      <c r="CK83" s="329">
        <f t="shared" si="48"/>
      </c>
      <c r="CL83" s="329">
        <f t="shared" si="49"/>
      </c>
      <c r="CM83" s="485" t="s">
        <v>1066</v>
      </c>
      <c r="CN83" s="724" t="s">
        <v>871</v>
      </c>
      <c r="CO83" s="440" t="s">
        <v>705</v>
      </c>
      <c r="CP83" s="392" t="s">
        <v>706</v>
      </c>
      <c r="CQ83" s="392"/>
      <c r="CR83" s="393"/>
      <c r="CS83" s="834"/>
      <c r="CT83" s="592"/>
      <c r="CU83" s="21" t="e">
        <f t="shared" si="50"/>
        <v>#VALUE!</v>
      </c>
      <c r="CV83" s="21" t="e">
        <f t="shared" si="51"/>
        <v>#DIV/0!</v>
      </c>
      <c r="CX83" s="622">
        <f t="shared" si="52"/>
        <v>0</v>
      </c>
      <c r="CY83" s="623">
        <f t="shared" si="53"/>
        <v>0</v>
      </c>
      <c r="CZ83" s="624">
        <f t="shared" si="54"/>
        <v>0</v>
      </c>
      <c r="DA83" s="634">
        <f t="shared" si="55"/>
        <v>0</v>
      </c>
      <c r="DB83" s="591">
        <f t="shared" si="56"/>
        <v>1200000</v>
      </c>
      <c r="DC83" s="591">
        <f>DA83*1.25*1.25</f>
        <v>0</v>
      </c>
      <c r="DD83" s="591">
        <v>15000</v>
      </c>
      <c r="DI83" s="54">
        <v>1.6875</v>
      </c>
      <c r="DJ83" s="54">
        <v>6.25</v>
      </c>
      <c r="DK83" s="649">
        <f t="shared" si="58"/>
        <v>0</v>
      </c>
    </row>
    <row r="84" spans="1:115" s="54" customFormat="1" ht="12.75">
      <c r="A84" s="24" t="s">
        <v>710</v>
      </c>
      <c r="B84" s="69"/>
      <c r="C84" s="319" t="s">
        <v>99</v>
      </c>
      <c r="D84" s="670"/>
      <c r="E84" s="374" t="s">
        <v>1690</v>
      </c>
      <c r="F84" s="15">
        <v>1</v>
      </c>
      <c r="G84" s="18"/>
      <c r="H84" s="732">
        <v>5</v>
      </c>
      <c r="I84" s="847"/>
      <c r="J84" s="737">
        <v>4</v>
      </c>
      <c r="K84" s="188"/>
      <c r="L84" s="867"/>
      <c r="M84" s="895"/>
      <c r="N84" s="106"/>
      <c r="O84" s="455"/>
      <c r="P84" s="531"/>
      <c r="Q84" s="340"/>
      <c r="R84" s="98"/>
      <c r="S84" s="326"/>
      <c r="T84" s="342">
        <v>800</v>
      </c>
      <c r="U84" s="343"/>
      <c r="V84" s="344">
        <v>40</v>
      </c>
      <c r="W84" s="289"/>
      <c r="X84" s="340"/>
      <c r="Y84" s="43"/>
      <c r="Z84" s="44"/>
      <c r="AA84" s="44"/>
      <c r="AB84" s="49"/>
      <c r="AC84" s="345"/>
      <c r="AD84" s="312"/>
      <c r="AE84" s="292"/>
      <c r="AF84" s="46"/>
      <c r="AG84" s="48"/>
      <c r="AH84" s="48"/>
      <c r="AI84" s="47"/>
      <c r="AJ84" s="5"/>
      <c r="AK84" s="727"/>
      <c r="AL84" s="862"/>
      <c r="AM84" s="458"/>
      <c r="AN84" s="295"/>
      <c r="AO84" s="145"/>
      <c r="AP84" s="85"/>
      <c r="AQ84" s="677"/>
      <c r="AR84" s="56"/>
      <c r="AS84" s="34"/>
      <c r="AT84" s="34"/>
      <c r="AU84" s="73"/>
      <c r="AV84" s="39"/>
      <c r="AW84" s="143"/>
      <c r="AX84" s="33"/>
      <c r="AY84" s="34"/>
      <c r="AZ84" s="34"/>
      <c r="BA84" s="84"/>
      <c r="BB84" s="748"/>
      <c r="BC84" s="590"/>
      <c r="BD84" s="588"/>
      <c r="BE84" s="299"/>
      <c r="BF84" s="300"/>
      <c r="BG84" s="112"/>
      <c r="BH84" s="541"/>
      <c r="BI84" s="301">
        <v>4</v>
      </c>
      <c r="BJ84" s="655" t="s">
        <v>870</v>
      </c>
      <c r="BK84" s="36" t="s">
        <v>600</v>
      </c>
      <c r="BL84" s="303" t="s">
        <v>1322</v>
      </c>
      <c r="BM84" s="86" t="s">
        <v>1321</v>
      </c>
      <c r="BN84" s="303" t="s">
        <v>104</v>
      </c>
      <c r="BO84" s="86"/>
      <c r="BP84" s="445"/>
      <c r="BQ84" s="657"/>
      <c r="BR84" s="585"/>
      <c r="BS84" s="365"/>
      <c r="BT84" s="365"/>
      <c r="BU84" s="365"/>
      <c r="BV84" s="580"/>
      <c r="BW84" s="366"/>
      <c r="BX84"/>
      <c r="BY84"/>
      <c r="BZ84" s="1"/>
      <c r="CA84" s="21"/>
      <c r="CB84" s="605"/>
      <c r="CC84" s="600"/>
      <c r="CD84" s="601"/>
      <c r="CE84" s="329">
        <f t="shared" si="42"/>
        <v>0</v>
      </c>
      <c r="CF84" s="329">
        <f t="shared" si="43"/>
        <v>0</v>
      </c>
      <c r="CG84" s="329">
        <f t="shared" si="44"/>
      </c>
      <c r="CH84" s="329">
        <f t="shared" si="45"/>
      </c>
      <c r="CI84" s="329">
        <f t="shared" si="46"/>
      </c>
      <c r="CJ84" s="329">
        <f t="shared" si="47"/>
      </c>
      <c r="CK84" s="329">
        <f t="shared" si="48"/>
      </c>
      <c r="CL84" s="329">
        <f t="shared" si="49"/>
      </c>
      <c r="CM84" s="485" t="s">
        <v>1639</v>
      </c>
      <c r="CN84" s="724" t="s">
        <v>871</v>
      </c>
      <c r="CO84" s="440"/>
      <c r="CP84" s="392"/>
      <c r="CQ84" s="392"/>
      <c r="CR84" s="393"/>
      <c r="CS84" s="834"/>
      <c r="CT84" s="592"/>
      <c r="CU84" s="21" t="e">
        <f t="shared" si="50"/>
        <v>#DIV/0!</v>
      </c>
      <c r="CV84" s="21" t="e">
        <f t="shared" si="51"/>
        <v>#DIV/0!</v>
      </c>
      <c r="CX84" s="625">
        <f t="shared" si="52"/>
        <v>0</v>
      </c>
      <c r="CY84" s="623">
        <f t="shared" si="53"/>
        <v>0</v>
      </c>
      <c r="CZ84" s="624">
        <f t="shared" si="54"/>
        <v>0</v>
      </c>
      <c r="DA84" s="634">
        <f t="shared" si="55"/>
        <v>0</v>
      </c>
      <c r="DB84" s="591">
        <f t="shared" si="56"/>
        <v>800000</v>
      </c>
      <c r="DC84" s="591">
        <f>DA84*1.25</f>
        <v>0</v>
      </c>
      <c r="DD84" s="591">
        <v>15000</v>
      </c>
      <c r="DI84" s="54">
        <v>1.6875</v>
      </c>
      <c r="DJ84" s="54">
        <v>6.25</v>
      </c>
      <c r="DK84" s="649">
        <f t="shared" si="58"/>
        <v>0</v>
      </c>
    </row>
    <row r="85" spans="1:115" s="54" customFormat="1" ht="12.75">
      <c r="A85" s="24" t="s">
        <v>1421</v>
      </c>
      <c r="B85" s="69"/>
      <c r="C85" s="319" t="s">
        <v>99</v>
      </c>
      <c r="D85" s="670"/>
      <c r="E85" s="374" t="s">
        <v>1690</v>
      </c>
      <c r="F85" s="15">
        <v>1</v>
      </c>
      <c r="G85" s="18"/>
      <c r="H85" s="17">
        <v>5</v>
      </c>
      <c r="I85" s="740">
        <v>3</v>
      </c>
      <c r="J85" s="186">
        <v>3</v>
      </c>
      <c r="K85" s="188"/>
      <c r="L85" s="867">
        <v>50</v>
      </c>
      <c r="M85" s="895"/>
      <c r="N85" s="106"/>
      <c r="O85" s="455">
        <v>80</v>
      </c>
      <c r="P85" s="531">
        <v>40</v>
      </c>
      <c r="Q85" s="340"/>
      <c r="R85" s="98"/>
      <c r="S85" s="326"/>
      <c r="T85" s="342">
        <v>800</v>
      </c>
      <c r="U85" s="343"/>
      <c r="V85" s="344">
        <v>40</v>
      </c>
      <c r="W85" s="289"/>
      <c r="X85" s="340"/>
      <c r="Y85" s="43"/>
      <c r="Z85" s="44"/>
      <c r="AA85" s="44"/>
      <c r="AB85" s="49"/>
      <c r="AC85" s="345"/>
      <c r="AD85" s="312"/>
      <c r="AE85" s="292"/>
      <c r="AF85" s="46"/>
      <c r="AG85" s="48"/>
      <c r="AH85" s="48"/>
      <c r="AI85" s="47"/>
      <c r="AJ85" s="5"/>
      <c r="AK85" s="727"/>
      <c r="AL85" s="862"/>
      <c r="AM85" s="458"/>
      <c r="AN85" s="295"/>
      <c r="AO85" s="145"/>
      <c r="AP85" s="85"/>
      <c r="AQ85" s="677"/>
      <c r="AR85" s="56"/>
      <c r="AS85" s="34"/>
      <c r="AT85" s="34"/>
      <c r="AU85" s="73"/>
      <c r="AV85" s="39"/>
      <c r="AW85" s="143"/>
      <c r="AX85" s="33"/>
      <c r="AY85" s="34"/>
      <c r="AZ85" s="34"/>
      <c r="BA85" s="84"/>
      <c r="BB85" s="748"/>
      <c r="BC85" s="590"/>
      <c r="BD85" s="588"/>
      <c r="BE85" s="299"/>
      <c r="BF85" s="300"/>
      <c r="BG85" s="112"/>
      <c r="BH85" s="541"/>
      <c r="BI85" s="301">
        <v>3</v>
      </c>
      <c r="BJ85" s="655" t="s">
        <v>870</v>
      </c>
      <c r="BK85" s="36" t="s">
        <v>1569</v>
      </c>
      <c r="BL85" s="303" t="s">
        <v>1769</v>
      </c>
      <c r="BM85" s="86" t="s">
        <v>1764</v>
      </c>
      <c r="BN85" s="303" t="s">
        <v>104</v>
      </c>
      <c r="BO85" s="86"/>
      <c r="BP85" s="445"/>
      <c r="BQ85" s="657"/>
      <c r="BR85" s="585"/>
      <c r="BS85" s="365"/>
      <c r="BT85" s="365"/>
      <c r="BU85" s="365"/>
      <c r="BV85" s="580"/>
      <c r="BW85" s="366"/>
      <c r="BX85"/>
      <c r="BY85"/>
      <c r="BZ85" s="1"/>
      <c r="CA85" s="21"/>
      <c r="CB85" s="605"/>
      <c r="CC85" s="600"/>
      <c r="CD85" s="601"/>
      <c r="CE85" s="329">
        <f t="shared" si="42"/>
        <v>0</v>
      </c>
      <c r="CF85" s="329">
        <f t="shared" si="43"/>
        <v>0</v>
      </c>
      <c r="CG85" s="329">
        <f t="shared" si="44"/>
      </c>
      <c r="CH85" s="329">
        <f t="shared" si="45"/>
      </c>
      <c r="CI85" s="329">
        <f t="shared" si="46"/>
      </c>
      <c r="CJ85" s="329">
        <f t="shared" si="47"/>
      </c>
      <c r="CK85" s="329">
        <f t="shared" si="48"/>
      </c>
      <c r="CL85" s="329">
        <f t="shared" si="49"/>
      </c>
      <c r="CM85" s="485" t="s">
        <v>1639</v>
      </c>
      <c r="CN85" s="724" t="s">
        <v>871</v>
      </c>
      <c r="CO85" s="440"/>
      <c r="CP85" s="392"/>
      <c r="CQ85" s="392"/>
      <c r="CR85" s="393"/>
      <c r="CS85" s="834"/>
      <c r="CT85" s="592"/>
      <c r="CU85" s="21" t="e">
        <f t="shared" si="50"/>
        <v>#DIV/0!</v>
      </c>
      <c r="CV85" s="21" t="e">
        <f t="shared" si="51"/>
        <v>#DIV/0!</v>
      </c>
      <c r="CX85" s="625">
        <f t="shared" si="52"/>
        <v>0</v>
      </c>
      <c r="CY85" s="623">
        <f t="shared" si="53"/>
        <v>0</v>
      </c>
      <c r="CZ85" s="624">
        <f t="shared" si="54"/>
        <v>0</v>
      </c>
      <c r="DA85" s="634">
        <f t="shared" si="55"/>
        <v>0</v>
      </c>
      <c r="DB85" s="591">
        <f t="shared" si="56"/>
        <v>800000</v>
      </c>
      <c r="DC85" s="591">
        <f>DA85*1.25</f>
        <v>0</v>
      </c>
      <c r="DD85" s="591">
        <v>15000</v>
      </c>
      <c r="DI85" s="54">
        <v>1.6875</v>
      </c>
      <c r="DJ85" s="54">
        <v>6.25</v>
      </c>
      <c r="DK85" s="649">
        <f t="shared" si="58"/>
        <v>0</v>
      </c>
    </row>
    <row r="86" spans="1:115" s="54" customFormat="1" ht="12.75">
      <c r="A86" s="24" t="s">
        <v>1422</v>
      </c>
      <c r="B86" s="69"/>
      <c r="C86" s="319" t="s">
        <v>99</v>
      </c>
      <c r="D86" s="670"/>
      <c r="E86" s="374" t="s">
        <v>1690</v>
      </c>
      <c r="F86" s="15">
        <v>1</v>
      </c>
      <c r="G86" s="18"/>
      <c r="H86" s="17">
        <v>5</v>
      </c>
      <c r="I86" s="323"/>
      <c r="J86" s="186">
        <v>5</v>
      </c>
      <c r="K86" s="188"/>
      <c r="L86" s="867"/>
      <c r="M86" s="895"/>
      <c r="N86" s="106"/>
      <c r="O86" s="455">
        <v>50</v>
      </c>
      <c r="P86" s="531">
        <v>25</v>
      </c>
      <c r="Q86" s="340"/>
      <c r="R86" s="98"/>
      <c r="S86" s="326"/>
      <c r="T86" s="342">
        <v>800</v>
      </c>
      <c r="U86" s="343"/>
      <c r="V86" s="344">
        <v>40</v>
      </c>
      <c r="W86" s="289"/>
      <c r="X86" s="340"/>
      <c r="Y86" s="43"/>
      <c r="Z86" s="44"/>
      <c r="AA86" s="44"/>
      <c r="AB86" s="49"/>
      <c r="AC86" s="345"/>
      <c r="AD86" s="312"/>
      <c r="AE86" s="292"/>
      <c r="AF86" s="46"/>
      <c r="AG86" s="48"/>
      <c r="AH86" s="48"/>
      <c r="AI86" s="47"/>
      <c r="AJ86" s="5"/>
      <c r="AK86" s="727"/>
      <c r="AL86" s="862"/>
      <c r="AM86" s="458"/>
      <c r="AN86" s="295"/>
      <c r="AO86" s="145"/>
      <c r="AP86" s="85"/>
      <c r="AQ86" s="677"/>
      <c r="AR86" s="56"/>
      <c r="AS86" s="34"/>
      <c r="AT86" s="34"/>
      <c r="AU86" s="73"/>
      <c r="AV86" s="39"/>
      <c r="AW86" s="143"/>
      <c r="AX86" s="33"/>
      <c r="AY86" s="34"/>
      <c r="AZ86" s="34"/>
      <c r="BA86" s="84"/>
      <c r="BB86" s="748"/>
      <c r="BC86" s="590"/>
      <c r="BD86" s="588"/>
      <c r="BE86" s="299"/>
      <c r="BF86" s="300"/>
      <c r="BG86" s="112"/>
      <c r="BH86" s="541"/>
      <c r="BI86" s="301">
        <v>2</v>
      </c>
      <c r="BJ86" s="655" t="s">
        <v>870</v>
      </c>
      <c r="BK86" s="36" t="s">
        <v>1568</v>
      </c>
      <c r="BL86" s="303" t="s">
        <v>1768</v>
      </c>
      <c r="BM86" s="86" t="s">
        <v>1765</v>
      </c>
      <c r="BN86" s="303" t="s">
        <v>104</v>
      </c>
      <c r="BO86" s="86"/>
      <c r="BP86" s="445"/>
      <c r="BQ86" s="657"/>
      <c r="BR86" s="585"/>
      <c r="BS86" s="365"/>
      <c r="BT86" s="365"/>
      <c r="BU86" s="365"/>
      <c r="BV86" s="580"/>
      <c r="BW86" s="366"/>
      <c r="BX86" s="378"/>
      <c r="BY86"/>
      <c r="BZ86" s="1"/>
      <c r="CA86" s="21"/>
      <c r="CB86" s="605"/>
      <c r="CC86" s="610"/>
      <c r="CD86" s="601"/>
      <c r="CE86" s="329">
        <f t="shared" si="42"/>
        <v>0</v>
      </c>
      <c r="CF86" s="329">
        <f t="shared" si="43"/>
        <v>0</v>
      </c>
      <c r="CG86" s="329">
        <f t="shared" si="44"/>
      </c>
      <c r="CH86" s="329">
        <f t="shared" si="45"/>
      </c>
      <c r="CI86" s="329">
        <f t="shared" si="46"/>
      </c>
      <c r="CJ86" s="329">
        <f t="shared" si="47"/>
      </c>
      <c r="CK86" s="329">
        <f t="shared" si="48"/>
      </c>
      <c r="CL86" s="329">
        <f t="shared" si="49"/>
      </c>
      <c r="CM86" s="485" t="s">
        <v>8</v>
      </c>
      <c r="CN86" s="724" t="s">
        <v>871</v>
      </c>
      <c r="CO86" s="440"/>
      <c r="CP86" s="392" t="s">
        <v>706</v>
      </c>
      <c r="CQ86" s="392"/>
      <c r="CR86" s="393"/>
      <c r="CS86" s="834"/>
      <c r="CT86" s="592"/>
      <c r="CU86" s="21" t="e">
        <f t="shared" si="50"/>
        <v>#VALUE!</v>
      </c>
      <c r="CV86" s="21" t="e">
        <f t="shared" si="51"/>
        <v>#DIV/0!</v>
      </c>
      <c r="CX86" s="625">
        <f t="shared" si="52"/>
        <v>0</v>
      </c>
      <c r="CY86" s="623">
        <f t="shared" si="53"/>
        <v>0</v>
      </c>
      <c r="CZ86" s="624">
        <f t="shared" si="54"/>
        <v>0</v>
      </c>
      <c r="DA86" s="634">
        <f t="shared" si="55"/>
        <v>0</v>
      </c>
      <c r="DB86" s="591">
        <f t="shared" si="56"/>
        <v>800000</v>
      </c>
      <c r="DC86" s="591">
        <f>DA86*1.25</f>
        <v>0</v>
      </c>
      <c r="DD86" s="591">
        <v>15000</v>
      </c>
      <c r="DI86" s="54">
        <v>1.6875</v>
      </c>
      <c r="DJ86" s="54">
        <v>6.25</v>
      </c>
      <c r="DK86" s="649">
        <f t="shared" si="58"/>
        <v>0</v>
      </c>
    </row>
    <row r="87" spans="1:115" s="54" customFormat="1" ht="12.75">
      <c r="A87" s="24" t="s">
        <v>1555</v>
      </c>
      <c r="B87" s="69"/>
      <c r="C87" s="319" t="s">
        <v>99</v>
      </c>
      <c r="D87" s="670" t="s">
        <v>214</v>
      </c>
      <c r="E87" s="374" t="s">
        <v>1690</v>
      </c>
      <c r="F87" s="15">
        <v>1</v>
      </c>
      <c r="G87" s="18"/>
      <c r="H87" s="17">
        <v>5</v>
      </c>
      <c r="I87" s="323"/>
      <c r="J87" s="738">
        <v>5</v>
      </c>
      <c r="K87" s="188"/>
      <c r="L87" s="867"/>
      <c r="M87" s="895"/>
      <c r="N87" s="106"/>
      <c r="O87" s="455"/>
      <c r="P87" s="531"/>
      <c r="Q87" s="340"/>
      <c r="R87" s="98"/>
      <c r="S87" s="326"/>
      <c r="T87" s="342">
        <v>800</v>
      </c>
      <c r="U87" s="343"/>
      <c r="V87" s="344">
        <v>40</v>
      </c>
      <c r="W87" s="289"/>
      <c r="X87" s="340"/>
      <c r="Y87" s="43"/>
      <c r="Z87" s="44"/>
      <c r="AA87" s="44"/>
      <c r="AB87" s="49"/>
      <c r="AC87" s="345"/>
      <c r="AD87" s="312"/>
      <c r="AE87" s="292"/>
      <c r="AF87" s="46"/>
      <c r="AG87" s="48"/>
      <c r="AH87" s="48"/>
      <c r="AI87" s="47"/>
      <c r="AJ87" s="5"/>
      <c r="AK87" s="727"/>
      <c r="AL87" s="862"/>
      <c r="AM87" s="458"/>
      <c r="AN87" s="295"/>
      <c r="AO87" s="145"/>
      <c r="AP87" s="85"/>
      <c r="AQ87" s="677"/>
      <c r="AR87" s="56"/>
      <c r="AS87" s="34"/>
      <c r="AT87" s="34"/>
      <c r="AU87" s="73"/>
      <c r="AV87" s="39"/>
      <c r="AW87" s="143"/>
      <c r="AX87" s="33"/>
      <c r="AY87" s="34"/>
      <c r="AZ87" s="34"/>
      <c r="BA87" s="84"/>
      <c r="BB87" s="748"/>
      <c r="BC87" s="590"/>
      <c r="BD87" s="588"/>
      <c r="BE87" s="299"/>
      <c r="BF87" s="300"/>
      <c r="BG87" s="112"/>
      <c r="BH87" s="541"/>
      <c r="BI87" s="301">
        <v>1</v>
      </c>
      <c r="BJ87" s="655" t="s">
        <v>870</v>
      </c>
      <c r="BK87" s="36" t="s">
        <v>1568</v>
      </c>
      <c r="BL87" s="303" t="s">
        <v>1766</v>
      </c>
      <c r="BM87" s="86" t="s">
        <v>1767</v>
      </c>
      <c r="BN87" s="303" t="s">
        <v>104</v>
      </c>
      <c r="BO87" s="86"/>
      <c r="BP87" s="445"/>
      <c r="BQ87" s="657"/>
      <c r="BR87" s="585"/>
      <c r="BS87" s="365"/>
      <c r="BT87" s="365"/>
      <c r="BU87" s="365"/>
      <c r="BV87" s="580"/>
      <c r="BW87" s="366"/>
      <c r="BX87"/>
      <c r="BY87"/>
      <c r="BZ87" s="1"/>
      <c r="CA87" s="21"/>
      <c r="CB87" s="605"/>
      <c r="CC87" s="600"/>
      <c r="CD87" s="601"/>
      <c r="CE87" s="329">
        <f t="shared" si="42"/>
        <v>0</v>
      </c>
      <c r="CF87" s="329">
        <f t="shared" si="43"/>
        <v>0</v>
      </c>
      <c r="CG87" s="329">
        <f t="shared" si="44"/>
      </c>
      <c r="CH87" s="329">
        <f t="shared" si="45"/>
      </c>
      <c r="CI87" s="329">
        <f t="shared" si="46"/>
      </c>
      <c r="CJ87" s="329">
        <f t="shared" si="47"/>
      </c>
      <c r="CK87" s="329">
        <f t="shared" si="48"/>
      </c>
      <c r="CL87" s="329">
        <f t="shared" si="49"/>
      </c>
      <c r="CM87" s="485" t="s">
        <v>1066</v>
      </c>
      <c r="CN87" s="724" t="s">
        <v>871</v>
      </c>
      <c r="CO87" s="440" t="s">
        <v>705</v>
      </c>
      <c r="CP87" s="392"/>
      <c r="CQ87" s="392"/>
      <c r="CR87" s="393"/>
      <c r="CS87" s="834"/>
      <c r="CT87" s="592"/>
      <c r="CU87" s="21" t="e">
        <f t="shared" si="50"/>
        <v>#DIV/0!</v>
      </c>
      <c r="CV87" s="21" t="e">
        <f t="shared" si="51"/>
        <v>#DIV/0!</v>
      </c>
      <c r="CX87" s="622">
        <f t="shared" si="52"/>
        <v>0</v>
      </c>
      <c r="CY87" s="623">
        <f t="shared" si="53"/>
        <v>0</v>
      </c>
      <c r="CZ87" s="624">
        <f t="shared" si="54"/>
        <v>0</v>
      </c>
      <c r="DA87" s="634">
        <f t="shared" si="55"/>
        <v>0</v>
      </c>
      <c r="DB87" s="591">
        <f t="shared" si="56"/>
        <v>800000</v>
      </c>
      <c r="DC87" s="591">
        <f>DA87*1.25*1.25</f>
        <v>0</v>
      </c>
      <c r="DD87" s="591">
        <v>15000</v>
      </c>
      <c r="DI87" s="54">
        <v>1.6875</v>
      </c>
      <c r="DJ87" s="54">
        <v>6.25</v>
      </c>
      <c r="DK87" s="649">
        <f t="shared" si="58"/>
        <v>0</v>
      </c>
    </row>
    <row r="88" spans="1:115" s="54" customFormat="1" ht="12.75">
      <c r="A88" s="24" t="s">
        <v>797</v>
      </c>
      <c r="B88" s="69"/>
      <c r="C88" s="319" t="s">
        <v>99</v>
      </c>
      <c r="D88" s="670"/>
      <c r="E88" s="374" t="s">
        <v>1691</v>
      </c>
      <c r="F88" s="15">
        <v>1</v>
      </c>
      <c r="G88" s="18"/>
      <c r="H88" s="17"/>
      <c r="I88" s="323"/>
      <c r="J88" s="324"/>
      <c r="K88" s="188"/>
      <c r="L88" s="867"/>
      <c r="M88" s="895"/>
      <c r="N88" s="106"/>
      <c r="O88" s="455"/>
      <c r="P88" s="531"/>
      <c r="Q88" s="340"/>
      <c r="R88" s="98"/>
      <c r="S88" s="326"/>
      <c r="T88" s="342">
        <v>1400</v>
      </c>
      <c r="U88" s="343"/>
      <c r="V88" s="344">
        <v>40</v>
      </c>
      <c r="W88" s="289">
        <v>0.612</v>
      </c>
      <c r="X88" s="340"/>
      <c r="Y88" s="43"/>
      <c r="Z88" s="44"/>
      <c r="AA88" s="44"/>
      <c r="AB88" s="49"/>
      <c r="AC88" s="345"/>
      <c r="AD88" s="312"/>
      <c r="AE88" s="292"/>
      <c r="AF88" s="46"/>
      <c r="AG88" s="48"/>
      <c r="AH88" s="48"/>
      <c r="AI88" s="47"/>
      <c r="AJ88" s="5"/>
      <c r="AK88" s="727"/>
      <c r="AL88" s="862"/>
      <c r="AM88" s="458"/>
      <c r="AN88" s="295"/>
      <c r="AO88" s="145"/>
      <c r="AP88" s="85"/>
      <c r="AQ88" s="677"/>
      <c r="AR88" s="56"/>
      <c r="AS88" s="34"/>
      <c r="AT88" s="34"/>
      <c r="AU88" s="73"/>
      <c r="AV88" s="39"/>
      <c r="AW88" s="900">
        <v>180</v>
      </c>
      <c r="AX88" s="33"/>
      <c r="AY88" s="34"/>
      <c r="AZ88" s="34"/>
      <c r="BA88" s="84"/>
      <c r="BB88" s="748"/>
      <c r="BC88" s="590"/>
      <c r="BD88" s="588"/>
      <c r="BE88" s="299"/>
      <c r="BF88" s="300"/>
      <c r="BG88" s="112"/>
      <c r="BH88" s="541"/>
      <c r="BI88" s="301">
        <v>1</v>
      </c>
      <c r="BJ88" s="655" t="s">
        <v>870</v>
      </c>
      <c r="BK88" s="36" t="s">
        <v>1561</v>
      </c>
      <c r="BL88" s="303" t="s">
        <v>1556</v>
      </c>
      <c r="BM88" s="86" t="s">
        <v>1811</v>
      </c>
      <c r="BN88" s="303" t="s">
        <v>104</v>
      </c>
      <c r="BO88" s="86"/>
      <c r="BP88" s="445"/>
      <c r="BQ88" s="657"/>
      <c r="BR88" s="585"/>
      <c r="BS88" s="365"/>
      <c r="BT88" s="365"/>
      <c r="BU88" s="365"/>
      <c r="BV88" s="580"/>
      <c r="BW88" s="366"/>
      <c r="BX88"/>
      <c r="BY88"/>
      <c r="BZ88" s="1"/>
      <c r="CA88" s="21"/>
      <c r="CB88" s="605"/>
      <c r="CC88" s="600"/>
      <c r="CD88" s="601"/>
      <c r="CE88" s="329">
        <f t="shared" si="42"/>
        <v>0</v>
      </c>
      <c r="CF88" s="329">
        <f t="shared" si="43"/>
        <v>0</v>
      </c>
      <c r="CG88" s="329">
        <f t="shared" si="44"/>
      </c>
      <c r="CH88" s="329">
        <f t="shared" si="45"/>
      </c>
      <c r="CI88" s="329">
        <f t="shared" si="46"/>
      </c>
      <c r="CJ88" s="329">
        <f t="shared" si="47"/>
      </c>
      <c r="CK88" s="329">
        <f t="shared" si="48"/>
      </c>
      <c r="CL88" s="329">
        <f t="shared" si="49"/>
      </c>
      <c r="CM88" s="485" t="s">
        <v>1639</v>
      </c>
      <c r="CN88" s="724" t="s">
        <v>871</v>
      </c>
      <c r="CO88" s="440"/>
      <c r="CP88" s="392"/>
      <c r="CQ88" s="392"/>
      <c r="CR88" s="393"/>
      <c r="CS88" s="834"/>
      <c r="CT88" s="592"/>
      <c r="CU88" s="21" t="e">
        <f t="shared" si="50"/>
        <v>#DIV/0!</v>
      </c>
      <c r="CV88" s="21" t="e">
        <f t="shared" si="51"/>
        <v>#DIV/0!</v>
      </c>
      <c r="CX88" s="625">
        <f t="shared" si="52"/>
        <v>0</v>
      </c>
      <c r="CY88" s="623">
        <f t="shared" si="53"/>
        <v>0</v>
      </c>
      <c r="CZ88" s="624">
        <f t="shared" si="54"/>
        <v>0</v>
      </c>
      <c r="DA88" s="634">
        <f t="shared" si="55"/>
        <v>180</v>
      </c>
      <c r="DB88" s="591">
        <f t="shared" si="56"/>
        <v>1400000</v>
      </c>
      <c r="DC88" s="591">
        <f>DA88*1.25</f>
        <v>225</v>
      </c>
      <c r="DD88" s="591">
        <v>15000</v>
      </c>
      <c r="DI88" s="54">
        <v>1.6875</v>
      </c>
      <c r="DJ88" s="54">
        <v>6.25</v>
      </c>
      <c r="DK88" s="649">
        <f t="shared" si="58"/>
        <v>0.8568</v>
      </c>
    </row>
    <row r="89" spans="1:115" s="54" customFormat="1" ht="12.75">
      <c r="A89" s="24" t="s">
        <v>798</v>
      </c>
      <c r="B89" s="69"/>
      <c r="C89" s="319" t="s">
        <v>99</v>
      </c>
      <c r="D89" s="670" t="s">
        <v>214</v>
      </c>
      <c r="E89" s="374" t="s">
        <v>1691</v>
      </c>
      <c r="F89" s="15">
        <v>1</v>
      </c>
      <c r="G89" s="18"/>
      <c r="H89" s="17"/>
      <c r="I89" s="323"/>
      <c r="J89" s="324"/>
      <c r="K89" s="188"/>
      <c r="L89" s="867"/>
      <c r="M89" s="895"/>
      <c r="N89" s="106"/>
      <c r="O89" s="455"/>
      <c r="P89" s="531"/>
      <c r="Q89" s="340"/>
      <c r="R89" s="98"/>
      <c r="S89" s="326"/>
      <c r="T89" s="342">
        <v>1400</v>
      </c>
      <c r="U89" s="343"/>
      <c r="V89" s="344">
        <v>40</v>
      </c>
      <c r="W89" s="289">
        <v>0.5</v>
      </c>
      <c r="X89" s="340"/>
      <c r="Y89" s="43"/>
      <c r="Z89" s="44"/>
      <c r="AA89" s="44"/>
      <c r="AB89" s="49"/>
      <c r="AC89" s="345"/>
      <c r="AD89" s="312"/>
      <c r="AE89" s="292"/>
      <c r="AF89" s="46"/>
      <c r="AG89" s="48"/>
      <c r="AH89" s="48"/>
      <c r="AI89" s="47"/>
      <c r="AJ89" s="5"/>
      <c r="AK89" s="727"/>
      <c r="AL89" s="862"/>
      <c r="AM89" s="458"/>
      <c r="AN89" s="295"/>
      <c r="AO89" s="145"/>
      <c r="AP89" s="85"/>
      <c r="AQ89" s="677"/>
      <c r="AR89" s="56"/>
      <c r="AS89" s="34"/>
      <c r="AT89" s="34"/>
      <c r="AU89" s="73"/>
      <c r="AV89" s="39"/>
      <c r="AW89" s="901">
        <v>180</v>
      </c>
      <c r="AX89" s="33"/>
      <c r="AY89" s="34"/>
      <c r="AZ89" s="34"/>
      <c r="BA89" s="84"/>
      <c r="BB89" s="748"/>
      <c r="BC89" s="590"/>
      <c r="BD89" s="588"/>
      <c r="BE89" s="299"/>
      <c r="BF89" s="300"/>
      <c r="BG89" s="112"/>
      <c r="BH89" s="541"/>
      <c r="BI89" s="301">
        <v>3</v>
      </c>
      <c r="BJ89" s="655" t="s">
        <v>870</v>
      </c>
      <c r="BK89" s="36" t="s">
        <v>86</v>
      </c>
      <c r="BL89" s="303" t="s">
        <v>1527</v>
      </c>
      <c r="BM89" s="86" t="s">
        <v>1812</v>
      </c>
      <c r="BN89" s="303" t="s">
        <v>104</v>
      </c>
      <c r="BO89" s="86"/>
      <c r="BP89" s="445"/>
      <c r="BQ89" s="657"/>
      <c r="BR89" s="585"/>
      <c r="BS89" s="365"/>
      <c r="BT89" s="365"/>
      <c r="BU89" s="365"/>
      <c r="BV89" s="580"/>
      <c r="BW89" s="366"/>
      <c r="BX89" s="378"/>
      <c r="BY89"/>
      <c r="BZ89" s="1"/>
      <c r="CA89" s="21"/>
      <c r="CB89" s="605"/>
      <c r="CC89" s="610"/>
      <c r="CD89" s="601"/>
      <c r="CE89" s="329">
        <f t="shared" si="42"/>
        <v>0</v>
      </c>
      <c r="CF89" s="329">
        <f t="shared" si="43"/>
        <v>0</v>
      </c>
      <c r="CG89" s="329">
        <f t="shared" si="44"/>
      </c>
      <c r="CH89" s="329">
        <f t="shared" si="45"/>
      </c>
      <c r="CI89" s="329">
        <f t="shared" si="46"/>
      </c>
      <c r="CJ89" s="329">
        <f t="shared" si="47"/>
      </c>
      <c r="CK89" s="329">
        <f t="shared" si="48"/>
      </c>
      <c r="CL89" s="329">
        <f t="shared" si="49"/>
      </c>
      <c r="CM89" s="485" t="s">
        <v>8</v>
      </c>
      <c r="CN89" s="724" t="s">
        <v>871</v>
      </c>
      <c r="CO89" s="440" t="s">
        <v>705</v>
      </c>
      <c r="CP89" s="392" t="s">
        <v>706</v>
      </c>
      <c r="CQ89" s="392"/>
      <c r="CR89" s="393"/>
      <c r="CS89" s="834"/>
      <c r="CT89" s="592"/>
      <c r="CU89" s="21" t="e">
        <f t="shared" si="50"/>
        <v>#VALUE!</v>
      </c>
      <c r="CV89" s="21" t="e">
        <f t="shared" si="51"/>
        <v>#DIV/0!</v>
      </c>
      <c r="CX89" s="625">
        <f t="shared" si="52"/>
        <v>0</v>
      </c>
      <c r="CY89" s="623">
        <f t="shared" si="53"/>
        <v>0</v>
      </c>
      <c r="CZ89" s="624">
        <f t="shared" si="54"/>
        <v>0</v>
      </c>
      <c r="DA89" s="634">
        <f t="shared" si="55"/>
        <v>180</v>
      </c>
      <c r="DB89" s="591">
        <f t="shared" si="56"/>
        <v>1400000</v>
      </c>
      <c r="DC89" s="591">
        <f>DA89*1.25</f>
        <v>225</v>
      </c>
      <c r="DD89" s="591">
        <v>15000</v>
      </c>
      <c r="DI89" s="54">
        <v>1.6875</v>
      </c>
      <c r="DJ89" s="54">
        <v>6.25</v>
      </c>
      <c r="DK89" s="649">
        <f t="shared" si="58"/>
        <v>0.7</v>
      </c>
    </row>
    <row r="90" spans="1:115" s="54" customFormat="1" ht="12.75">
      <c r="A90" s="24" t="s">
        <v>1557</v>
      </c>
      <c r="B90" s="69"/>
      <c r="C90" s="319" t="s">
        <v>99</v>
      </c>
      <c r="D90" s="670"/>
      <c r="E90" s="374" t="s">
        <v>1691</v>
      </c>
      <c r="F90" s="15">
        <v>1</v>
      </c>
      <c r="G90" s="18"/>
      <c r="H90" s="17"/>
      <c r="I90" s="323"/>
      <c r="J90" s="324"/>
      <c r="K90" s="188"/>
      <c r="L90" s="867"/>
      <c r="M90" s="895"/>
      <c r="N90" s="106"/>
      <c r="O90" s="455"/>
      <c r="P90" s="531"/>
      <c r="Q90" s="340"/>
      <c r="R90" s="98"/>
      <c r="S90" s="326"/>
      <c r="T90" s="342">
        <v>1400</v>
      </c>
      <c r="U90" s="343"/>
      <c r="V90" s="344">
        <v>40</v>
      </c>
      <c r="W90" s="898">
        <v>0.556</v>
      </c>
      <c r="X90" s="340"/>
      <c r="Y90" s="43"/>
      <c r="Z90" s="44"/>
      <c r="AA90" s="44"/>
      <c r="AB90" s="49"/>
      <c r="AC90" s="345"/>
      <c r="AD90" s="312"/>
      <c r="AE90" s="292"/>
      <c r="AF90" s="46"/>
      <c r="AG90" s="48"/>
      <c r="AH90" s="48"/>
      <c r="AI90" s="47"/>
      <c r="AJ90" s="5"/>
      <c r="AK90" s="727"/>
      <c r="AL90" s="862"/>
      <c r="AM90" s="458"/>
      <c r="AN90" s="295"/>
      <c r="AO90" s="145"/>
      <c r="AP90" s="85"/>
      <c r="AQ90" s="677"/>
      <c r="AR90" s="56"/>
      <c r="AS90" s="34"/>
      <c r="AT90" s="34"/>
      <c r="AU90" s="73"/>
      <c r="AV90" s="39"/>
      <c r="AW90" s="143">
        <v>175</v>
      </c>
      <c r="AX90" s="33"/>
      <c r="AY90" s="34"/>
      <c r="AZ90" s="34"/>
      <c r="BA90" s="84"/>
      <c r="BB90" s="748"/>
      <c r="BC90" s="590"/>
      <c r="BD90" s="588"/>
      <c r="BE90" s="299"/>
      <c r="BF90" s="300"/>
      <c r="BG90" s="112"/>
      <c r="BH90" s="541"/>
      <c r="BI90" s="301">
        <v>2</v>
      </c>
      <c r="BJ90" s="655" t="s">
        <v>870</v>
      </c>
      <c r="BK90" s="36" t="s">
        <v>1565</v>
      </c>
      <c r="BL90" s="303" t="s">
        <v>1529</v>
      </c>
      <c r="BM90" s="86" t="s">
        <v>1813</v>
      </c>
      <c r="BN90" s="303" t="s">
        <v>104</v>
      </c>
      <c r="BO90" s="86"/>
      <c r="BP90" s="445"/>
      <c r="BQ90" s="657"/>
      <c r="BR90" s="585"/>
      <c r="BS90" s="365"/>
      <c r="BT90" s="365"/>
      <c r="BU90" s="365"/>
      <c r="BV90" s="580"/>
      <c r="BW90" s="366"/>
      <c r="BX90"/>
      <c r="BY90"/>
      <c r="BZ90" s="1"/>
      <c r="CA90" s="21"/>
      <c r="CB90" s="605"/>
      <c r="CC90" s="600"/>
      <c r="CD90" s="601"/>
      <c r="CE90" s="329">
        <f t="shared" si="42"/>
        <v>0</v>
      </c>
      <c r="CF90" s="329">
        <f t="shared" si="43"/>
        <v>0</v>
      </c>
      <c r="CG90" s="329">
        <f t="shared" si="44"/>
      </c>
      <c r="CH90" s="329">
        <f t="shared" si="45"/>
      </c>
      <c r="CI90" s="329">
        <f t="shared" si="46"/>
      </c>
      <c r="CJ90" s="329">
        <f t="shared" si="47"/>
      </c>
      <c r="CK90" s="329">
        <f t="shared" si="48"/>
      </c>
      <c r="CL90" s="329">
        <f t="shared" si="49"/>
      </c>
      <c r="CM90" s="485" t="s">
        <v>1066</v>
      </c>
      <c r="CN90" s="724" t="s">
        <v>871</v>
      </c>
      <c r="CO90" s="440"/>
      <c r="CP90" s="392"/>
      <c r="CQ90" s="392"/>
      <c r="CR90" s="393"/>
      <c r="CS90" s="834"/>
      <c r="CT90" s="592"/>
      <c r="CU90" s="21" t="e">
        <f t="shared" si="50"/>
        <v>#DIV/0!</v>
      </c>
      <c r="CV90" s="21" t="e">
        <f t="shared" si="51"/>
        <v>#DIV/0!</v>
      </c>
      <c r="CX90" s="622">
        <f t="shared" si="52"/>
        <v>0</v>
      </c>
      <c r="CY90" s="623">
        <f t="shared" si="53"/>
        <v>0</v>
      </c>
      <c r="CZ90" s="624">
        <f t="shared" si="54"/>
        <v>0</v>
      </c>
      <c r="DA90" s="634">
        <f t="shared" si="55"/>
        <v>175</v>
      </c>
      <c r="DB90" s="591">
        <f t="shared" si="56"/>
        <v>1400000</v>
      </c>
      <c r="DC90" s="591">
        <f>DA90*1.25*1.25</f>
        <v>273.4375</v>
      </c>
      <c r="DD90" s="591">
        <v>15000</v>
      </c>
      <c r="DI90" s="54">
        <v>1.6875</v>
      </c>
      <c r="DJ90" s="54">
        <v>6.25</v>
      </c>
      <c r="DK90" s="649">
        <f t="shared" si="58"/>
        <v>0.7784000000000001</v>
      </c>
    </row>
    <row r="91" spans="1:115" s="54" customFormat="1" ht="12.75">
      <c r="A91" s="24" t="s">
        <v>711</v>
      </c>
      <c r="B91" s="69"/>
      <c r="C91" s="319" t="s">
        <v>99</v>
      </c>
      <c r="D91" s="670"/>
      <c r="E91" s="374" t="s">
        <v>1691</v>
      </c>
      <c r="F91" s="15"/>
      <c r="G91" s="18"/>
      <c r="H91" s="17"/>
      <c r="I91" s="323"/>
      <c r="J91" s="324"/>
      <c r="K91" s="188"/>
      <c r="L91" s="867"/>
      <c r="M91" s="895"/>
      <c r="N91" s="106"/>
      <c r="O91" s="455"/>
      <c r="P91" s="531"/>
      <c r="Q91" s="340"/>
      <c r="R91" s="98"/>
      <c r="S91" s="326"/>
      <c r="T91" s="342">
        <v>1400</v>
      </c>
      <c r="U91" s="343"/>
      <c r="V91" s="344">
        <v>40</v>
      </c>
      <c r="W91" s="899">
        <v>0.723</v>
      </c>
      <c r="X91" s="340"/>
      <c r="Y91" s="43"/>
      <c r="Z91" s="44"/>
      <c r="AA91" s="44"/>
      <c r="AB91" s="49"/>
      <c r="AC91" s="345"/>
      <c r="AD91" s="312"/>
      <c r="AE91" s="292"/>
      <c r="AF91" s="46"/>
      <c r="AG91" s="48"/>
      <c r="AH91" s="48"/>
      <c r="AI91" s="47"/>
      <c r="AJ91" s="5"/>
      <c r="AK91" s="727"/>
      <c r="AL91" s="862"/>
      <c r="AM91" s="458"/>
      <c r="AN91" s="295"/>
      <c r="AO91" s="145"/>
      <c r="AP91" s="85"/>
      <c r="AQ91" s="677"/>
      <c r="AR91" s="56"/>
      <c r="AS91" s="34"/>
      <c r="AT91" s="34"/>
      <c r="AU91" s="73"/>
      <c r="AV91" s="39"/>
      <c r="AW91" s="143">
        <v>165</v>
      </c>
      <c r="AX91" s="33"/>
      <c r="AY91" s="34"/>
      <c r="AZ91" s="34"/>
      <c r="BA91" s="84"/>
      <c r="BB91" s="749"/>
      <c r="BC91" s="590"/>
      <c r="BD91" s="588"/>
      <c r="BE91" s="299"/>
      <c r="BF91" s="300"/>
      <c r="BG91" s="112"/>
      <c r="BH91" s="541"/>
      <c r="BI91" s="301">
        <v>4</v>
      </c>
      <c r="BJ91" s="655" t="s">
        <v>870</v>
      </c>
      <c r="BK91" s="36" t="s">
        <v>1715</v>
      </c>
      <c r="BL91" s="303" t="s">
        <v>1775</v>
      </c>
      <c r="BM91" s="86" t="s">
        <v>1614</v>
      </c>
      <c r="BN91" s="303" t="s">
        <v>104</v>
      </c>
      <c r="BO91" s="86"/>
      <c r="BP91" s="445"/>
      <c r="BQ91" s="657"/>
      <c r="BR91" s="585"/>
      <c r="BS91" s="365"/>
      <c r="BT91" s="365"/>
      <c r="BU91" s="365"/>
      <c r="BV91" s="580"/>
      <c r="BW91" s="366"/>
      <c r="BX91"/>
      <c r="BY91"/>
      <c r="BZ91" s="1"/>
      <c r="CA91" s="21"/>
      <c r="CB91" s="605"/>
      <c r="CC91" s="600"/>
      <c r="CD91" s="601"/>
      <c r="CE91" s="329">
        <f t="shared" si="42"/>
        <v>0</v>
      </c>
      <c r="CF91" s="329">
        <f t="shared" si="43"/>
      </c>
      <c r="CG91" s="329">
        <f t="shared" si="44"/>
      </c>
      <c r="CH91" s="329">
        <f t="shared" si="45"/>
      </c>
      <c r="CI91" s="329">
        <f t="shared" si="46"/>
      </c>
      <c r="CJ91" s="329">
        <f t="shared" si="47"/>
      </c>
      <c r="CK91" s="329">
        <f t="shared" si="48"/>
      </c>
      <c r="CL91" s="329">
        <f t="shared" si="49"/>
      </c>
      <c r="CM91" s="485" t="s">
        <v>1066</v>
      </c>
      <c r="CN91" s="725" t="s">
        <v>871</v>
      </c>
      <c r="CO91" s="440"/>
      <c r="CP91" s="392"/>
      <c r="CQ91" s="392"/>
      <c r="CR91" s="393"/>
      <c r="CS91" s="834"/>
      <c r="CT91" s="592"/>
      <c r="CU91" s="21" t="e">
        <f t="shared" si="50"/>
        <v>#DIV/0!</v>
      </c>
      <c r="CV91" s="21" t="e">
        <f t="shared" si="51"/>
        <v>#DIV/0!</v>
      </c>
      <c r="CX91" s="622">
        <f t="shared" si="52"/>
        <v>0</v>
      </c>
      <c r="CY91" s="623">
        <f t="shared" si="53"/>
        <v>0</v>
      </c>
      <c r="CZ91" s="624">
        <f t="shared" si="54"/>
        <v>0</v>
      </c>
      <c r="DA91" s="634">
        <f t="shared" si="55"/>
        <v>165</v>
      </c>
      <c r="DB91" s="591">
        <f t="shared" si="56"/>
        <v>1400000</v>
      </c>
      <c r="DC91" s="591">
        <f>DA91*1.25*1.25</f>
        <v>257.8125</v>
      </c>
      <c r="DD91" s="591">
        <v>15000</v>
      </c>
      <c r="DI91" s="54">
        <v>1.6875</v>
      </c>
      <c r="DJ91" s="54">
        <v>6.25</v>
      </c>
      <c r="DK91" s="649">
        <f t="shared" si="58"/>
        <v>1.0122</v>
      </c>
    </row>
    <row r="92" spans="1:97" ht="12.75">
      <c r="A92" s="422"/>
      <c r="B92" s="423"/>
      <c r="C92" s="422"/>
      <c r="D92" s="671"/>
      <c r="E92" s="422"/>
      <c r="W92"/>
      <c r="X92"/>
      <c r="AC92"/>
      <c r="AL92"/>
      <c r="AO92"/>
      <c r="BP92" s="1"/>
      <c r="BR92" s="446"/>
      <c r="BS92" s="4"/>
      <c r="BT92" s="4"/>
      <c r="BU92" s="4"/>
      <c r="BV92" s="4"/>
      <c r="BW92" s="579"/>
      <c r="CM92" s="137"/>
      <c r="CR92"/>
      <c r="CS92"/>
    </row>
    <row r="93" spans="1:97" ht="12.75" customHeight="1" thickBot="1">
      <c r="A93" s="422"/>
      <c r="B93" s="423"/>
      <c r="C93" s="422"/>
      <c r="D93" s="671"/>
      <c r="E93" s="422"/>
      <c r="U93" s="648"/>
      <c r="W93"/>
      <c r="X93"/>
      <c r="AC93"/>
      <c r="AL93"/>
      <c r="AO93"/>
      <c r="BS93" s="4"/>
      <c r="BT93" s="4"/>
      <c r="BU93" s="4"/>
      <c r="BV93" s="581" t="str">
        <f>INT(SUM(BV4:BV92))&amp;" M"</f>
        <v>0 M</v>
      </c>
      <c r="BW93" s="583" t="str">
        <f>SUM(BW4:BW92)&amp;" M"</f>
        <v>0 M</v>
      </c>
      <c r="CM93" s="137"/>
      <c r="CR93"/>
      <c r="CS93"/>
    </row>
    <row r="94" spans="1:97" ht="12.75" customHeight="1" thickTop="1">
      <c r="A94" s="426"/>
      <c r="B94" s="422"/>
      <c r="C94" s="441" t="s">
        <v>169</v>
      </c>
      <c r="D94" s="672"/>
      <c r="E94" s="442" t="s">
        <v>121</v>
      </c>
      <c r="W94"/>
      <c r="X94"/>
      <c r="AC94"/>
      <c r="AL94"/>
      <c r="AO94"/>
      <c r="BV94" s="131"/>
      <c r="BW94" s="584"/>
      <c r="CL94" s="39"/>
      <c r="CM94" s="465"/>
      <c r="CN94" s="710" t="s">
        <v>919</v>
      </c>
      <c r="CO94" s="701"/>
      <c r="CP94" s="702"/>
      <c r="CR94"/>
      <c r="CS94"/>
    </row>
    <row r="95" spans="1:97" ht="12.75" customHeight="1">
      <c r="A95" s="422"/>
      <c r="B95" s="422"/>
      <c r="C95" s="428" t="s">
        <v>139</v>
      </c>
      <c r="D95" s="726">
        <f aca="true" t="shared" si="62" ref="D95:D102">E95/100+1</f>
        <v>1.275</v>
      </c>
      <c r="E95" s="434">
        <v>27.5</v>
      </c>
      <c r="W95"/>
      <c r="X95"/>
      <c r="AC95"/>
      <c r="AL95"/>
      <c r="AO95"/>
      <c r="BV95"/>
      <c r="BW95" s="4"/>
      <c r="CL95" s="39"/>
      <c r="CM95" s="537"/>
      <c r="CN95" s="711" t="s">
        <v>183</v>
      </c>
      <c r="CO95" s="703"/>
      <c r="CP95" s="702"/>
      <c r="CR95"/>
      <c r="CS95"/>
    </row>
    <row r="96" spans="1:97" ht="12.75" customHeight="1">
      <c r="A96" s="422"/>
      <c r="B96" s="422"/>
      <c r="C96" s="428" t="s">
        <v>631</v>
      </c>
      <c r="D96" s="726">
        <f t="shared" si="62"/>
        <v>1.275</v>
      </c>
      <c r="E96" s="434">
        <v>27.5</v>
      </c>
      <c r="W96"/>
      <c r="X96"/>
      <c r="AC96"/>
      <c r="AL96"/>
      <c r="AO96"/>
      <c r="BV96"/>
      <c r="BW96" s="4"/>
      <c r="CL96" s="39"/>
      <c r="CM96" s="463"/>
      <c r="CN96" s="712" t="s">
        <v>920</v>
      </c>
      <c r="CO96" s="704"/>
      <c r="CP96" s="702"/>
      <c r="CR96"/>
      <c r="CS96"/>
    </row>
    <row r="97" spans="1:97" ht="12.75" customHeight="1">
      <c r="A97" s="430"/>
      <c r="B97" s="422"/>
      <c r="C97" s="428" t="s">
        <v>632</v>
      </c>
      <c r="D97" s="726">
        <f t="shared" si="62"/>
        <v>1.275</v>
      </c>
      <c r="E97" s="434">
        <v>27.5</v>
      </c>
      <c r="W97"/>
      <c r="X97"/>
      <c r="AC97"/>
      <c r="AL97"/>
      <c r="AO97"/>
      <c r="BV97"/>
      <c r="BW97" s="4"/>
      <c r="CL97" s="39">
        <v>3211</v>
      </c>
      <c r="CM97" s="464"/>
      <c r="CN97" s="713" t="s">
        <v>584</v>
      </c>
      <c r="CO97" s="704"/>
      <c r="CP97" s="702"/>
      <c r="CR97"/>
      <c r="CS97"/>
    </row>
    <row r="98" spans="1:97" ht="12.75" customHeight="1">
      <c r="A98" s="430"/>
      <c r="B98" s="422"/>
      <c r="C98" s="428" t="s">
        <v>347</v>
      </c>
      <c r="D98" s="726">
        <f t="shared" si="62"/>
        <v>1.275</v>
      </c>
      <c r="E98" s="434">
        <v>27.5</v>
      </c>
      <c r="W98"/>
      <c r="X98"/>
      <c r="AC98"/>
      <c r="AL98"/>
      <c r="AO98"/>
      <c r="BV98"/>
      <c r="BW98" s="4"/>
      <c r="CL98" s="39">
        <v>3363</v>
      </c>
      <c r="CM98" s="464"/>
      <c r="CN98" s="713" t="s">
        <v>921</v>
      </c>
      <c r="CO98" s="703"/>
      <c r="CP98" s="106"/>
      <c r="CR98"/>
      <c r="CS98"/>
    </row>
    <row r="99" spans="1:97" ht="12.75" customHeight="1">
      <c r="A99" s="431"/>
      <c r="B99" s="422"/>
      <c r="C99" s="428" t="s">
        <v>348</v>
      </c>
      <c r="D99" s="726">
        <f t="shared" si="62"/>
        <v>1.275</v>
      </c>
      <c r="E99" s="434">
        <v>27.5</v>
      </c>
      <c r="G99" s="21"/>
      <c r="H99" s="21"/>
      <c r="W99"/>
      <c r="X99"/>
      <c r="AC99"/>
      <c r="AL99"/>
      <c r="AO99"/>
      <c r="BV99"/>
      <c r="BW99" s="4"/>
      <c r="CL99" s="39">
        <v>3538</v>
      </c>
      <c r="CM99" s="461"/>
      <c r="CN99" s="714" t="s">
        <v>585</v>
      </c>
      <c r="CO99" s="703"/>
      <c r="CP99" s="702"/>
      <c r="CR99"/>
      <c r="CS99"/>
    </row>
    <row r="100" spans="1:97" ht="12.75" customHeight="1">
      <c r="A100" s="422"/>
      <c r="B100" s="422"/>
      <c r="C100" s="428" t="s">
        <v>349</v>
      </c>
      <c r="D100" s="726">
        <f t="shared" si="62"/>
        <v>1.275</v>
      </c>
      <c r="E100" s="434">
        <v>27.5</v>
      </c>
      <c r="G100" s="21"/>
      <c r="H100" s="21"/>
      <c r="W100"/>
      <c r="X100"/>
      <c r="AC100"/>
      <c r="AL100"/>
      <c r="AO100"/>
      <c r="BV100"/>
      <c r="BW100" s="4"/>
      <c r="CL100" s="39">
        <v>3548</v>
      </c>
      <c r="CM100" s="461"/>
      <c r="CN100" s="714" t="s">
        <v>513</v>
      </c>
      <c r="CO100" s="705"/>
      <c r="CP100" s="106"/>
      <c r="CR100"/>
      <c r="CS100"/>
    </row>
    <row r="101" spans="1:97" ht="12.75" customHeight="1">
      <c r="A101" s="422"/>
      <c r="B101" s="422"/>
      <c r="C101" s="428" t="s">
        <v>350</v>
      </c>
      <c r="D101" s="726">
        <f t="shared" si="62"/>
        <v>1.275</v>
      </c>
      <c r="E101" s="434">
        <v>27.5</v>
      </c>
      <c r="G101" s="21"/>
      <c r="H101" s="21"/>
      <c r="W101"/>
      <c r="X101"/>
      <c r="AC101"/>
      <c r="AL101"/>
      <c r="AO101"/>
      <c r="BV101"/>
      <c r="BW101" s="4"/>
      <c r="CL101" s="39">
        <v>3796</v>
      </c>
      <c r="CM101" s="461"/>
      <c r="CN101" s="714" t="s">
        <v>514</v>
      </c>
      <c r="CO101" s="704"/>
      <c r="CP101" s="702"/>
      <c r="CR101"/>
      <c r="CS101"/>
    </row>
    <row r="102" spans="1:97" ht="12.75" customHeight="1" thickBot="1">
      <c r="A102" s="422"/>
      <c r="B102" s="422"/>
      <c r="C102" s="428" t="s">
        <v>351</v>
      </c>
      <c r="D102" s="726">
        <f t="shared" si="62"/>
        <v>1.275</v>
      </c>
      <c r="E102" s="434">
        <v>27.5</v>
      </c>
      <c r="G102" s="21"/>
      <c r="H102" s="21"/>
      <c r="W102"/>
      <c r="X102"/>
      <c r="AC102"/>
      <c r="AL102"/>
      <c r="AO102"/>
      <c r="BV102"/>
      <c r="BW102" s="4"/>
      <c r="CL102" s="39">
        <v>27912</v>
      </c>
      <c r="CM102" s="460"/>
      <c r="CN102" s="715" t="s">
        <v>515</v>
      </c>
      <c r="CO102" s="704"/>
      <c r="CP102" s="702"/>
      <c r="CR102"/>
      <c r="CS102"/>
    </row>
    <row r="103" spans="1:97" ht="12.75" customHeight="1" thickTop="1">
      <c r="A103" s="435"/>
      <c r="B103" s="435"/>
      <c r="C103" s="450"/>
      <c r="D103" s="673"/>
      <c r="E103" s="450"/>
      <c r="W103"/>
      <c r="X103"/>
      <c r="AC103"/>
      <c r="AL103"/>
      <c r="AO103"/>
      <c r="BV103"/>
      <c r="BW103" s="4"/>
      <c r="CL103" s="39">
        <v>37459</v>
      </c>
      <c r="CM103" s="462"/>
      <c r="CN103" s="716" t="s">
        <v>516</v>
      </c>
      <c r="CO103" s="704"/>
      <c r="CP103" s="702"/>
      <c r="CR103"/>
      <c r="CS103"/>
    </row>
    <row r="104" spans="1:97" ht="12.75" customHeight="1">
      <c r="A104" s="448"/>
      <c r="B104" s="448"/>
      <c r="C104" s="448"/>
      <c r="D104" s="674"/>
      <c r="E104" s="448"/>
      <c r="W104"/>
      <c r="X104"/>
      <c r="AC104"/>
      <c r="AL104"/>
      <c r="AO104"/>
      <c r="BV104"/>
      <c r="BW104" s="4"/>
      <c r="CL104" s="39"/>
      <c r="CM104" s="462"/>
      <c r="CN104" s="716" t="s">
        <v>517</v>
      </c>
      <c r="CO104" s="706"/>
      <c r="CP104" s="707"/>
      <c r="CR104"/>
      <c r="CS104"/>
    </row>
    <row r="105" spans="23:97" ht="12.75" customHeight="1">
      <c r="W105"/>
      <c r="X105"/>
      <c r="AC105"/>
      <c r="AL105"/>
      <c r="AO105"/>
      <c r="CL105" s="39">
        <v>45017</v>
      </c>
      <c r="CM105" s="472"/>
      <c r="CN105" s="717" t="s">
        <v>182</v>
      </c>
      <c r="CO105" s="706"/>
      <c r="CP105" s="708"/>
      <c r="CR105"/>
      <c r="CS105"/>
    </row>
    <row r="106" spans="23:97" ht="12.75">
      <c r="W106"/>
      <c r="X106"/>
      <c r="AC106"/>
      <c r="AL106"/>
      <c r="AO106"/>
      <c r="CL106" s="436">
        <v>58189</v>
      </c>
      <c r="CM106" s="474"/>
      <c r="CN106" s="718" t="s">
        <v>1105</v>
      </c>
      <c r="CO106" s="704"/>
      <c r="CP106" s="709"/>
      <c r="CR106"/>
      <c r="CS106"/>
    </row>
    <row r="107" spans="5:97" ht="12.75">
      <c r="E107" s="131"/>
      <c r="W107"/>
      <c r="X107"/>
      <c r="AC107"/>
      <c r="AL107"/>
      <c r="AO107"/>
      <c r="CL107" s="39">
        <v>69477</v>
      </c>
      <c r="CM107" s="658"/>
      <c r="CN107" s="719" t="s">
        <v>1408</v>
      </c>
      <c r="CO107" s="704"/>
      <c r="CP107" s="702"/>
      <c r="CR107"/>
      <c r="CS107"/>
    </row>
    <row r="108" spans="23:97" ht="12.75">
      <c r="W108"/>
      <c r="X108"/>
      <c r="AC108"/>
      <c r="AL108"/>
      <c r="AO108"/>
      <c r="CL108" s="660"/>
      <c r="CM108" s="661"/>
      <c r="CN108" s="720" t="s">
        <v>871</v>
      </c>
      <c r="CO108" s="704"/>
      <c r="CP108" s="702"/>
      <c r="CR108"/>
      <c r="CS108"/>
    </row>
    <row r="109" spans="23:97" ht="12.75">
      <c r="W109"/>
      <c r="X109"/>
      <c r="AC109"/>
      <c r="AL109"/>
      <c r="AO109"/>
      <c r="CR109"/>
      <c r="CS109"/>
    </row>
    <row r="110" spans="23:97" ht="12.75">
      <c r="W110"/>
      <c r="X110"/>
      <c r="AC110"/>
      <c r="AL110"/>
      <c r="AO110"/>
      <c r="CR110"/>
      <c r="CS110"/>
    </row>
    <row r="111" spans="23:97" ht="12.75">
      <c r="W111"/>
      <c r="X111"/>
      <c r="AC111"/>
      <c r="AL111"/>
      <c r="AO111"/>
      <c r="CR111"/>
      <c r="CS111"/>
    </row>
    <row r="112" spans="23:97" ht="12.75">
      <c r="W112"/>
      <c r="X112"/>
      <c r="AC112"/>
      <c r="AL112"/>
      <c r="AO112"/>
      <c r="CR112"/>
      <c r="CS112"/>
    </row>
    <row r="113" spans="23:97" ht="12.75">
      <c r="W113"/>
      <c r="X113"/>
      <c r="AC113"/>
      <c r="AL113"/>
      <c r="AO113"/>
      <c r="CR113"/>
      <c r="CS113"/>
    </row>
    <row r="114" spans="23:97" ht="12.75">
      <c r="W114"/>
      <c r="X114"/>
      <c r="AC114"/>
      <c r="AL114"/>
      <c r="AO114"/>
      <c r="CR114"/>
      <c r="CS114"/>
    </row>
    <row r="115" spans="23:97" ht="12.75">
      <c r="W115"/>
      <c r="X115"/>
      <c r="AC115"/>
      <c r="AL115"/>
      <c r="AO115"/>
      <c r="CR115"/>
      <c r="CS115"/>
    </row>
    <row r="116" spans="23:97" ht="12.75">
      <c r="W116"/>
      <c r="X116"/>
      <c r="AC116"/>
      <c r="AL116"/>
      <c r="AO116"/>
      <c r="CR116"/>
      <c r="CS116"/>
    </row>
    <row r="117" spans="23:97" ht="12.75">
      <c r="W117"/>
      <c r="X117"/>
      <c r="AC117"/>
      <c r="AL117"/>
      <c r="AO117"/>
      <c r="CR117"/>
      <c r="CS117"/>
    </row>
    <row r="118" spans="23:97" ht="12.75">
      <c r="W118"/>
      <c r="X118"/>
      <c r="AC118"/>
      <c r="AL118"/>
      <c r="AO118"/>
      <c r="CR118"/>
      <c r="CS118"/>
    </row>
    <row r="119" spans="23:97" ht="12.75">
      <c r="W119"/>
      <c r="X119"/>
      <c r="AC119"/>
      <c r="AL119"/>
      <c r="AO119"/>
      <c r="CR119"/>
      <c r="CS119"/>
    </row>
    <row r="120" spans="23:97" ht="12.75">
      <c r="W120"/>
      <c r="X120"/>
      <c r="AC120"/>
      <c r="AL120"/>
      <c r="AO120"/>
      <c r="CR120"/>
      <c r="CS120"/>
    </row>
  </sheetData>
  <autoFilter ref="A3:CZ91"/>
  <mergeCells count="5">
    <mergeCell ref="BP1:BP2"/>
    <mergeCell ref="BS1:BS2"/>
    <mergeCell ref="BT1:BT2"/>
    <mergeCell ref="BU1:BU2"/>
    <mergeCell ref="BR1:BR2"/>
  </mergeCells>
  <conditionalFormatting sqref="M93:N93 BD92:BD93 BI26 BZ4 BZ70 BZ48 BZ26 F4:K93 BB4:BC93 BE4:BH93">
    <cfRule type="cellIs" priority="1" dxfId="0" operator="equal" stopIfTrue="1">
      <formula>0</formula>
    </cfRule>
  </conditionalFormatting>
  <conditionalFormatting sqref="X93 X14 X4:X6 X26 X9:X10 X18 X22 AR4:AU93 AX4:BA93">
    <cfRule type="cellIs" priority="2" dxfId="1" operator="equal" stopIfTrue="1">
      <formula>0</formula>
    </cfRule>
  </conditionalFormatting>
  <conditionalFormatting sqref="AK92:AK93 AK4:AK70 CZ4:CZ91">
    <cfRule type="cellIs" priority="3" dxfId="2" operator="equal" stopIfTrue="1">
      <formula>"A"</formula>
    </cfRule>
    <cfRule type="cellIs" priority="4" dxfId="3" operator="equal" stopIfTrue="1">
      <formula>"S"</formula>
    </cfRule>
  </conditionalFormatting>
  <conditionalFormatting sqref="CS4:CS93">
    <cfRule type="cellIs" priority="5" dxfId="0" operator="lessThanOrEqual" stopIfTrue="1">
      <formula>0</formula>
    </cfRule>
  </conditionalFormatting>
  <conditionalFormatting sqref="BD4:BD91">
    <cfRule type="cellIs" priority="6" dxfId="4" operator="lessThanOrEqual" stopIfTrue="1">
      <formula>20</formula>
    </cfRule>
  </conditionalFormatting>
  <printOptions/>
  <pageMargins left="0.75" right="0.75" top="1" bottom="1" header="0.4921259845" footer="0.492125984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Ananda</dc:creator>
  <cp:keywords/>
  <dc:description/>
  <cp:lastModifiedBy>Ananda</cp:lastModifiedBy>
  <dcterms:created xsi:type="dcterms:W3CDTF">2004-02-23T15:08:40Z</dcterms:created>
  <dcterms:modified xsi:type="dcterms:W3CDTF">2009-04-26T12:38:04Z</dcterms:modified>
  <cp:category/>
  <cp:version/>
  <cp:contentType/>
  <cp:contentStatus/>
</cp:coreProperties>
</file>